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anaconda3\envs\streamlit_test\"/>
    </mc:Choice>
  </mc:AlternateContent>
  <bookViews>
    <workbookView xWindow="0" yWindow="0" windowWidth="28800" windowHeight="12330" firstSheet="1" activeTab="10"/>
  </bookViews>
  <sheets>
    <sheet name="선형그래프" sheetId="7" state="hidden" r:id="rId1"/>
    <sheet name="graph" sheetId="6" r:id="rId2"/>
    <sheet name="b_line" sheetId="8" state="hidden" r:id="rId3"/>
    <sheet name="b_stick" sheetId="5" state="hidden" r:id="rId4"/>
    <sheet name="d_gra" sheetId="4" state="hidden" r:id="rId5"/>
    <sheet name="일자별요약" sheetId="9" state="hidden" r:id="rId6"/>
    <sheet name="별첨_전시별,주차별" sheetId="17" state="hidden" r:id="rId7"/>
    <sheet name="주차별보고" sheetId="16" state="hidden" r:id="rId8"/>
    <sheet name="dashboard" sheetId="20" r:id="rId9"/>
    <sheet name="일자별요약v2" sheetId="15" r:id="rId10"/>
    <sheet name="daily" sheetId="1" r:id="rId11"/>
    <sheet name="주차별보고v2" sheetId="19" r:id="rId12"/>
    <sheet name="graph_사진" sheetId="11" state="hidden" r:id="rId13"/>
    <sheet name="일자별요약 (얼리포함)" sheetId="10" state="hidden" r:id="rId14"/>
    <sheet name="평균관람객" sheetId="22" r:id="rId15"/>
    <sheet name="얼리버드" sheetId="18" r:id="rId16"/>
    <sheet name="브랜드팀" sheetId="21" r:id="rId17"/>
    <sheet name="요약, 유무료" sheetId="14" r:id="rId18"/>
    <sheet name="요약" sheetId="2" r:id="rId19"/>
    <sheet name="1주차대비증감지수" sheetId="13" r:id="rId20"/>
  </sheets>
  <externalReferences>
    <externalReference r:id="rId21"/>
  </externalReferences>
  <definedNames>
    <definedName name="_xlnm._FilterDatabase" localSheetId="10" hidden="1">daily!$A$2:$K$1548</definedName>
    <definedName name="_xlnm._FilterDatabase" localSheetId="11" hidden="1">주차별보고v2!$A$16:$T$45</definedName>
    <definedName name="BES입장현황">[1]전시일자별관람객!$L$3:$L$1549</definedName>
    <definedName name="_xlnm.Print_Area" localSheetId="8">dashboard!$A$1:$W$32</definedName>
    <definedName name="_xlnm.Print_Area" localSheetId="12">graph_사진!$A$1:$S$147</definedName>
    <definedName name="_xlnm.Print_Area" localSheetId="5">일자별요약!$A$1:$J$113</definedName>
    <definedName name="_xlnm.Print_Area" localSheetId="13">'일자별요약 (얼리포함)'!$A$1:$J$56</definedName>
    <definedName name="_xlnm.Print_Area" localSheetId="9">일자별요약v2!$A$1:$J$223</definedName>
    <definedName name="_xlnm.Print_Area" localSheetId="7">주차별보고!$A$1:$O$49</definedName>
    <definedName name="_xlnm.Print_Area" localSheetId="11">주차별보고v2!$A$1:$T$45</definedName>
    <definedName name="t">OFFSET(b_line!$B$4,0,0,1,b_line!$A$1)</definedName>
    <definedName name="김정기">d_gra!$C$5:$C$130</definedName>
    <definedName name="김정기최근주">OFFSET(일자별요약v2!$D$144,0,0,일자별요약v2!$L$162,1)</definedName>
    <definedName name="당일누적_김정기">OFFSET(요약!$E$11,0,0,일자별요약v2!$F$8,1)</definedName>
    <definedName name="당일누적_드리머">OFFSET(요약!$F$11,0,0,일자별요약v2!$F$8,1)</definedName>
    <definedName name="당일누적_마르지엘라">OFFSET(요약!$I$11,0,0,일자별요약v2!$F$8,1)</definedName>
    <definedName name="당일누적_바스키아">OFFSET(요약!$D$11,0,0,일자별요약v2!$F$8,1)</definedName>
    <definedName name="당일누적_알렉스">OFFSET(요약!$G$11,0,0,일자별요약v2!$F$8,1)</definedName>
    <definedName name="당일누적_오스틴리">OFFSET(요약!$K$11,0,0,일자별요약v2!$F$8,1)</definedName>
    <definedName name="당일누적_윤협">OFFSET(요약!$L$11,0,0,일자별요약v2!$F$8,1)</definedName>
    <definedName name="당일누적_제이알">OFFSET(요약!$J$11,0,0,일자별요약v2!$F$8,1)</definedName>
    <definedName name="당일누적_페어리">OFFSET(요약!$H$11,0,0,일자별요약v2!$F$8,1)</definedName>
    <definedName name="드리머">d_gra!$D$5:$D$130</definedName>
    <definedName name="드리머최근주">OFFSET(일자별요약v2!$E$144,0,0,일자별요약v2!$L$162,1)</definedName>
    <definedName name="링크테스트">일자별요약v2!$J$116</definedName>
    <definedName name="마르지엘라">d_gra!$G$5:$G$130</definedName>
    <definedName name="마르지엘라최근주">OFFSET(일자별요약v2!$H$144,0,0,일자별요약v2!$L$162,1)</definedName>
    <definedName name="바스키아">d_gra!$B$5:$B$130</definedName>
    <definedName name="바스키아최근주">OFFSET(일자별요약v2!$C$144,0,0,일자별요약v2!$L$162,1)</definedName>
    <definedName name="범위_김정기">OFFSET(b_line!$C$5,0,0,1,b_line!$B$2)</definedName>
    <definedName name="범위_드리머">OFFSET(b_line!$C$6,0,0,1,b_line!$B$2)</definedName>
    <definedName name="범위_마르지엘라">OFFSET(b_line!$C$9,0,0,1,b_line!$B$2)</definedName>
    <definedName name="범위_바스키아">OFFSET(b_line!$C$4,0,0,1,b_line!$B$2)</definedName>
    <definedName name="범위_알렉스">OFFSET(b_line!$C$7,0,0,1,b_line!$B$2)</definedName>
    <definedName name="범위_오스틴리">OFFSET(b_line!$C$11,0,0,1,b_line!$B$2)</definedName>
    <definedName name="범위_윤협">OFFSET(b_line!$C$12,0,0,1,b_line!$B$2)</definedName>
    <definedName name="범위_제이알">OFFSET(b_line!$C$10,0,0,1,b_line!$B$2)</definedName>
    <definedName name="범위_페어리">OFFSET(b_line!$C$8,0,0,1,b_line!$B$2)</definedName>
    <definedName name="알렉스">d_gra!$E$5:$E$130</definedName>
    <definedName name="알렉스최근주">OFFSET(일자별요약v2!$F$144,0,0,일자별요약v2!$L$162,1)</definedName>
    <definedName name="오스틴_리">d_gra!$I$5:$I$130</definedName>
    <definedName name="오스틴최근주">OFFSET(일자별요약v2!$J$144,0,0,일자별요약v2!$L$162,1)</definedName>
    <definedName name="윤협">d_gra!$J$5:$J$130</definedName>
    <definedName name="윤협최근주">OFFSET(일자별요약v2!$B$144,0,0,일자별요약v2!$L$162,1)</definedName>
    <definedName name="일자">[1]전시일자별관람객!$C$3:$C$1549</definedName>
    <definedName name="일차">OFFSET(b_line!$C$3,0,0,1,b_line!$B$2)</definedName>
    <definedName name="일차수">OFFSET(b_line!$B$4,0,0,9,b_line!$D$1-1)</definedName>
    <definedName name="잔여김정기">OFFSET(일자별요약v2!$D$144,일자별요약v2!$L$162,0,일자별요약v2!$N$154,1)</definedName>
    <definedName name="잔여드리머">OFFSET(일자별요약v2!$E$144,일자별요약v2!$L$162,0,일자별요약v2!$O$154,1)</definedName>
    <definedName name="잔여마르지엘라">OFFSET(일자별요약v2!$H$144,일자별요약v2!$L$162,0,일자별요약v2!$R$154,1)</definedName>
    <definedName name="잔여바스키아">OFFSET(일자별요약v2!$C$144,일자별요약v2!$L$162,0,일자별요약v2!K$154,1)</definedName>
    <definedName name="잔여알렉스">OFFSET(일자별요약v2!$F$144,일자별요약v2!$L$162,0,일자별요약v2!$P$154,1)</definedName>
    <definedName name="잔여오스틴리">OFFSET(일자별요약v2!$J$144,일자별요약v2!$L$162,0,일자별요약v2!$T$154,1)</definedName>
    <definedName name="잔여제이알">OFFSET(일자별요약v2!$I$144,일자별요약v2!$L$162,0,일자별요약v2!$S$154,1)</definedName>
    <definedName name="잔여페어리">OFFSET(일자별요약v2!$G$144,일자별요약v2!$L$162,0,일자별요약v2!$Q$154,1)</definedName>
    <definedName name="제이알">d_gra!$H$5:$H$130</definedName>
    <definedName name="제이알최근주">OFFSET(일자별요약v2!$I$144,0,0,일자별요약v2!$L$162,1)</definedName>
    <definedName name="페어리">d_gra!$F$5:$F$130</definedName>
    <definedName name="페어리최근주">OFFSET(일자별요약v2!$G$144,0,0,일자별요약v2!$L$162,1)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2" l="1"/>
  <c r="I6" i="22"/>
  <c r="H6" i="22"/>
  <c r="G6" i="22"/>
  <c r="F6" i="22"/>
  <c r="E6" i="22"/>
  <c r="D6" i="22"/>
  <c r="C6" i="22"/>
  <c r="H1281" i="1"/>
  <c r="H1280" i="1" l="1"/>
  <c r="H1279" i="1"/>
  <c r="H1278" i="1" l="1"/>
  <c r="C1" i="22" l="1"/>
  <c r="H1277" i="1"/>
  <c r="E11" i="21" l="1"/>
  <c r="G7" i="21"/>
  <c r="G6" i="21"/>
  <c r="M8" i="21"/>
  <c r="O7" i="21"/>
  <c r="O6" i="21"/>
  <c r="I7" i="21"/>
  <c r="I6" i="21"/>
  <c r="C2" i="21"/>
  <c r="F6" i="21" s="1"/>
  <c r="E7" i="21"/>
  <c r="E6" i="21"/>
  <c r="J5" i="21" l="1"/>
  <c r="F7" i="21"/>
  <c r="B5" i="21"/>
  <c r="E9" i="21"/>
  <c r="H1276" i="1"/>
  <c r="AG12" i="20" l="1"/>
  <c r="AF12" i="20"/>
  <c r="AE12" i="20"/>
  <c r="AD12" i="20"/>
  <c r="AC12" i="20"/>
  <c r="AB12" i="20"/>
  <c r="I1548" i="1" l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1275" i="1"/>
  <c r="J6" i="21" l="1"/>
  <c r="J7" i="21"/>
  <c r="H1274" i="1"/>
  <c r="T161" i="15"/>
  <c r="S161" i="15"/>
  <c r="R161" i="15"/>
  <c r="Q161" i="15"/>
  <c r="P161" i="15"/>
  <c r="O161" i="15"/>
  <c r="N161" i="15"/>
  <c r="M161" i="15"/>
  <c r="K7" i="21" l="1"/>
  <c r="L7" i="21"/>
  <c r="M7" i="21" s="1"/>
  <c r="K6" i="21"/>
  <c r="L6" i="21"/>
  <c r="M6" i="21" s="1"/>
  <c r="H1273" i="1"/>
  <c r="H1272" i="1" l="1"/>
  <c r="O5" i="19" l="1"/>
  <c r="P5" i="19" s="1"/>
  <c r="Q5" i="19" s="1"/>
  <c r="R5" i="19" s="1"/>
  <c r="A18" i="19"/>
  <c r="G13" i="19"/>
  <c r="G12" i="19"/>
  <c r="H1271" i="1"/>
  <c r="S5" i="19" l="1"/>
  <c r="H1270" i="1"/>
  <c r="T5" i="19" l="1"/>
  <c r="H1269" i="1"/>
  <c r="H1268" i="1" l="1"/>
  <c r="H1267" i="1" l="1"/>
  <c r="H1266" i="1" l="1"/>
  <c r="H1265" i="1"/>
  <c r="H1264" i="1"/>
  <c r="H1263" i="1" l="1"/>
  <c r="H1262" i="1" l="1"/>
  <c r="N188" i="15" l="1"/>
  <c r="F177" i="15"/>
  <c r="G177" i="15"/>
  <c r="E177" i="15"/>
  <c r="D177" i="15"/>
  <c r="B180" i="15"/>
  <c r="J163" i="15"/>
  <c r="I163" i="15"/>
  <c r="H163" i="15"/>
  <c r="G163" i="15"/>
  <c r="F163" i="15"/>
  <c r="E163" i="15"/>
  <c r="D163" i="15"/>
  <c r="J162" i="15"/>
  <c r="I162" i="15"/>
  <c r="H162" i="15"/>
  <c r="G162" i="15"/>
  <c r="F162" i="15"/>
  <c r="E162" i="15"/>
  <c r="D162" i="15"/>
  <c r="J161" i="15"/>
  <c r="I161" i="15"/>
  <c r="H161" i="15"/>
  <c r="G161" i="15"/>
  <c r="F161" i="15"/>
  <c r="E161" i="15"/>
  <c r="D161" i="15"/>
  <c r="J160" i="15"/>
  <c r="I160" i="15"/>
  <c r="H160" i="15"/>
  <c r="G160" i="15"/>
  <c r="F160" i="15"/>
  <c r="E160" i="15"/>
  <c r="D160" i="15"/>
  <c r="J159" i="15"/>
  <c r="I159" i="15"/>
  <c r="H159" i="15"/>
  <c r="G159" i="15"/>
  <c r="F159" i="15"/>
  <c r="E159" i="15"/>
  <c r="D159" i="15"/>
  <c r="J158" i="15"/>
  <c r="I158" i="15"/>
  <c r="H158" i="15"/>
  <c r="D158" i="15"/>
  <c r="D157" i="15"/>
  <c r="A145" i="15"/>
  <c r="E18" i="16"/>
  <c r="D18" i="16"/>
  <c r="A146" i="15" l="1"/>
  <c r="A19" i="19"/>
  <c r="H177" i="15"/>
  <c r="N189" i="15"/>
  <c r="N193" i="15" s="1"/>
  <c r="B181" i="15"/>
  <c r="B182" i="15" s="1"/>
  <c r="B183" i="15" s="1"/>
  <c r="B184" i="15" s="1"/>
  <c r="F18" i="16"/>
  <c r="L66" i="15"/>
  <c r="L67" i="15" s="1"/>
  <c r="L68" i="15" s="1"/>
  <c r="L69" i="15" s="1"/>
  <c r="L70" i="15" s="1"/>
  <c r="L71" i="15" s="1"/>
  <c r="L72" i="15" s="1"/>
  <c r="H1261" i="1"/>
  <c r="A147" i="15" l="1"/>
  <c r="A20" i="19"/>
  <c r="Q181" i="15"/>
  <c r="G18" i="16"/>
  <c r="D45" i="16"/>
  <c r="E45" i="16" s="1"/>
  <c r="F45" i="16" s="1"/>
  <c r="G45" i="16" s="1"/>
  <c r="H45" i="16" s="1"/>
  <c r="I45" i="16" s="1"/>
  <c r="D34" i="16"/>
  <c r="E34" i="16" s="1"/>
  <c r="F34" i="16" s="1"/>
  <c r="G34" i="16" s="1"/>
  <c r="H34" i="16" s="1"/>
  <c r="I34" i="16" s="1"/>
  <c r="J34" i="16" s="1"/>
  <c r="K34" i="16" s="1"/>
  <c r="L34" i="16" s="1"/>
  <c r="A9" i="17"/>
  <c r="A10" i="17" s="1"/>
  <c r="A11" i="17" s="1"/>
  <c r="A12" i="17" s="1"/>
  <c r="A13" i="17" s="1"/>
  <c r="A148" i="15" l="1"/>
  <c r="A21" i="19"/>
  <c r="H18" i="16"/>
  <c r="A14" i="17"/>
  <c r="A149" i="15" l="1"/>
  <c r="A22" i="19"/>
  <c r="I18" i="16"/>
  <c r="A15" i="17"/>
  <c r="A150" i="15" l="1"/>
  <c r="A23" i="19"/>
  <c r="J18" i="16"/>
  <c r="A16" i="17"/>
  <c r="H1260" i="1"/>
  <c r="A151" i="15" l="1"/>
  <c r="A24" i="19"/>
  <c r="K18" i="16"/>
  <c r="A17" i="17"/>
  <c r="D82" i="15"/>
  <c r="J74" i="15"/>
  <c r="J143" i="15" s="1"/>
  <c r="I74" i="15"/>
  <c r="I143" i="15" s="1"/>
  <c r="H74" i="15"/>
  <c r="H143" i="15" s="1"/>
  <c r="G74" i="15"/>
  <c r="G143" i="15" s="1"/>
  <c r="F74" i="15"/>
  <c r="F143" i="15" s="1"/>
  <c r="E74" i="15"/>
  <c r="E143" i="15" s="1"/>
  <c r="D74" i="15"/>
  <c r="D143" i="15" s="1"/>
  <c r="C74" i="15"/>
  <c r="C143" i="15" s="1"/>
  <c r="J59" i="15"/>
  <c r="U19" i="20" s="1"/>
  <c r="I59" i="15"/>
  <c r="S19" i="20" s="1"/>
  <c r="H59" i="15"/>
  <c r="Q19" i="20" s="1"/>
  <c r="G59" i="15"/>
  <c r="F19" i="20" s="1"/>
  <c r="F59" i="15"/>
  <c r="O19" i="20" s="1"/>
  <c r="E59" i="15"/>
  <c r="M19" i="20" s="1"/>
  <c r="D59" i="15"/>
  <c r="K19" i="20" s="1"/>
  <c r="C59" i="15"/>
  <c r="I19" i="20" s="1"/>
  <c r="B59" i="15"/>
  <c r="C19" i="20" s="1"/>
  <c r="E9" i="15"/>
  <c r="J8" i="16" s="1"/>
  <c r="E8" i="15"/>
  <c r="I7" i="19" s="1"/>
  <c r="O6" i="19" l="1"/>
  <c r="AB13" i="20" s="1"/>
  <c r="Q6" i="19"/>
  <c r="AD13" i="20" s="1"/>
  <c r="K7" i="19"/>
  <c r="R6" i="19"/>
  <c r="AE13" i="20" s="1"/>
  <c r="P6" i="19"/>
  <c r="AC13" i="20" s="1"/>
  <c r="S6" i="19"/>
  <c r="AF13" i="20" s="1"/>
  <c r="T6" i="19"/>
  <c r="AG13" i="20" s="1"/>
  <c r="A152" i="15"/>
  <c r="A25" i="19"/>
  <c r="M8" i="15"/>
  <c r="N8" i="15"/>
  <c r="J7" i="16"/>
  <c r="L7" i="16" s="1"/>
  <c r="F15" i="15"/>
  <c r="L18" i="16"/>
  <c r="A18" i="17"/>
  <c r="E82" i="15"/>
  <c r="O2" i="1" a="1"/>
  <c r="O2" i="1" s="1"/>
  <c r="H1259" i="1"/>
  <c r="H1258" i="1"/>
  <c r="N1" i="15" l="1"/>
  <c r="C25" i="15" s="1"/>
  <c r="C26" i="15" s="1"/>
  <c r="C3" i="22"/>
  <c r="J9" i="16"/>
  <c r="A153" i="15"/>
  <c r="A26" i="19"/>
  <c r="O8" i="15"/>
  <c r="A19" i="17"/>
  <c r="N1" i="9"/>
  <c r="F82" i="15"/>
  <c r="L6" i="14"/>
  <c r="K6" i="14"/>
  <c r="J6" i="14"/>
  <c r="I6" i="14"/>
  <c r="H6" i="14"/>
  <c r="G6" i="14"/>
  <c r="F6" i="14"/>
  <c r="E6" i="14"/>
  <c r="D6" i="14"/>
  <c r="L4" i="14"/>
  <c r="K4" i="14"/>
  <c r="J4" i="14"/>
  <c r="I4" i="14"/>
  <c r="H4" i="14"/>
  <c r="G4" i="14"/>
  <c r="F4" i="14"/>
  <c r="E4" i="14"/>
  <c r="D4" i="14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F8" i="15" l="1"/>
  <c r="D3" i="22"/>
  <c r="C4" i="22"/>
  <c r="C5" i="22" s="1"/>
  <c r="C8" i="22"/>
  <c r="C9" i="22"/>
  <c r="C45" i="15"/>
  <c r="U2" i="20"/>
  <c r="A32" i="20"/>
  <c r="H5" i="14"/>
  <c r="AB5" i="20"/>
  <c r="AH5" i="20" s="1"/>
  <c r="N9" i="15"/>
  <c r="G5" i="14"/>
  <c r="J5" i="14"/>
  <c r="K5" i="14"/>
  <c r="I5" i="14"/>
  <c r="A154" i="15"/>
  <c r="A27" i="19"/>
  <c r="G15" i="15"/>
  <c r="I12" i="19"/>
  <c r="C7" i="19"/>
  <c r="A58" i="15"/>
  <c r="D7" i="16"/>
  <c r="A20" i="17"/>
  <c r="D25" i="15"/>
  <c r="E25" i="15" s="1"/>
  <c r="E26" i="15" s="1"/>
  <c r="H8" i="15"/>
  <c r="F9" i="15"/>
  <c r="G9" i="15" s="1"/>
  <c r="G8" i="15"/>
  <c r="A2" i="15"/>
  <c r="A97" i="15"/>
  <c r="A116" i="15"/>
  <c r="H5" i="15"/>
  <c r="C24" i="15"/>
  <c r="C44" i="15" s="1"/>
  <c r="G82" i="15"/>
  <c r="G7" i="14"/>
  <c r="H7" i="14"/>
  <c r="I7" i="14"/>
  <c r="D7" i="14"/>
  <c r="J7" i="14"/>
  <c r="E7" i="14"/>
  <c r="K7" i="14"/>
  <c r="F7" i="14"/>
  <c r="L7" i="14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C7" i="22" l="1"/>
  <c r="D7" i="22" s="1"/>
  <c r="E7" i="22" s="1"/>
  <c r="F7" i="22" s="1"/>
  <c r="G7" i="22" s="1"/>
  <c r="H7" i="22" s="1"/>
  <c r="I7" i="22" s="1"/>
  <c r="J7" i="22" s="1"/>
  <c r="C46" i="15"/>
  <c r="D45" i="15"/>
  <c r="E3" i="22"/>
  <c r="D9" i="22"/>
  <c r="D4" i="22"/>
  <c r="D5" i="22" s="1"/>
  <c r="D8" i="22"/>
  <c r="AH8" i="20"/>
  <c r="AH7" i="20"/>
  <c r="AE8" i="20"/>
  <c r="AC7" i="20"/>
  <c r="AD8" i="20"/>
  <c r="AB7" i="20"/>
  <c r="AC8" i="20"/>
  <c r="AB8" i="20"/>
  <c r="AE7" i="20"/>
  <c r="AE10" i="20" s="1"/>
  <c r="AD7" i="20"/>
  <c r="L5" i="14"/>
  <c r="G26" i="19"/>
  <c r="C5" i="19"/>
  <c r="K26" i="19"/>
  <c r="E26" i="19"/>
  <c r="M27" i="19"/>
  <c r="E27" i="19"/>
  <c r="S27" i="19"/>
  <c r="K27" i="19"/>
  <c r="C27" i="19"/>
  <c r="B153" i="15" s="1"/>
  <c r="Q27" i="19"/>
  <c r="O27" i="19"/>
  <c r="I27" i="19"/>
  <c r="G27" i="19"/>
  <c r="Q26" i="19"/>
  <c r="M26" i="19"/>
  <c r="C26" i="19"/>
  <c r="B152" i="15" s="1"/>
  <c r="S24" i="19"/>
  <c r="I24" i="19"/>
  <c r="M24" i="19"/>
  <c r="K24" i="19"/>
  <c r="G24" i="19"/>
  <c r="C24" i="19"/>
  <c r="B150" i="15" s="1"/>
  <c r="E24" i="19"/>
  <c r="Q24" i="19"/>
  <c r="O24" i="19"/>
  <c r="Q25" i="19"/>
  <c r="E25" i="19"/>
  <c r="K25" i="19"/>
  <c r="C25" i="19"/>
  <c r="B151" i="15" s="1"/>
  <c r="G25" i="19"/>
  <c r="I25" i="19"/>
  <c r="S25" i="19"/>
  <c r="O25" i="19"/>
  <c r="M25" i="19"/>
  <c r="I26" i="19"/>
  <c r="S26" i="19"/>
  <c r="O26" i="19"/>
  <c r="A2" i="16"/>
  <c r="A2" i="19"/>
  <c r="M12" i="19"/>
  <c r="K12" i="19"/>
  <c r="I13" i="19"/>
  <c r="F7" i="19"/>
  <c r="L7" i="19"/>
  <c r="A155" i="15"/>
  <c r="A28" i="19"/>
  <c r="F25" i="15"/>
  <c r="G25" i="15" s="1"/>
  <c r="D26" i="15"/>
  <c r="J58" i="15"/>
  <c r="H9" i="15"/>
  <c r="D8" i="16"/>
  <c r="M7" i="16"/>
  <c r="G7" i="16"/>
  <c r="A21" i="17"/>
  <c r="D44" i="15"/>
  <c r="D24" i="15"/>
  <c r="E24" i="15" s="1"/>
  <c r="E5" i="14"/>
  <c r="D5" i="14"/>
  <c r="F5" i="14"/>
  <c r="H82" i="15"/>
  <c r="N23" i="13"/>
  <c r="N22" i="13"/>
  <c r="N21" i="13"/>
  <c r="N20" i="13"/>
  <c r="N19" i="13"/>
  <c r="N18" i="13"/>
  <c r="P23" i="13"/>
  <c r="P22" i="13"/>
  <c r="P21" i="13"/>
  <c r="P20" i="13"/>
  <c r="P19" i="13"/>
  <c r="P18" i="13"/>
  <c r="P2" i="13"/>
  <c r="N2" i="13"/>
  <c r="L23" i="13"/>
  <c r="L22" i="13"/>
  <c r="L21" i="13"/>
  <c r="L20" i="13"/>
  <c r="L19" i="13"/>
  <c r="L18" i="13"/>
  <c r="L2" i="13"/>
  <c r="J23" i="13"/>
  <c r="J22" i="13"/>
  <c r="J21" i="13"/>
  <c r="J20" i="13"/>
  <c r="J19" i="13"/>
  <c r="J2" i="13"/>
  <c r="H23" i="13"/>
  <c r="H22" i="13"/>
  <c r="H21" i="13"/>
  <c r="H20" i="13"/>
  <c r="H19" i="13"/>
  <c r="H2" i="13"/>
  <c r="F23" i="13"/>
  <c r="F22" i="13"/>
  <c r="F21" i="13"/>
  <c r="F20" i="13"/>
  <c r="F19" i="13"/>
  <c r="F2" i="13"/>
  <c r="D23" i="13"/>
  <c r="D22" i="13"/>
  <c r="D21" i="13"/>
  <c r="D20" i="13"/>
  <c r="D19" i="13"/>
  <c r="D18" i="13"/>
  <c r="D17" i="13"/>
  <c r="D2" i="13"/>
  <c r="A4" i="13"/>
  <c r="B2" i="13"/>
  <c r="F3" i="22" l="1"/>
  <c r="E4" i="22"/>
  <c r="E5" i="22" s="1"/>
  <c r="E8" i="22"/>
  <c r="E9" i="22"/>
  <c r="D46" i="15"/>
  <c r="E45" i="15"/>
  <c r="AH10" i="20"/>
  <c r="AH11" i="20" s="1"/>
  <c r="Z15" i="20" s="1"/>
  <c r="AH9" i="20"/>
  <c r="AB10" i="20"/>
  <c r="AD9" i="20"/>
  <c r="AD10" i="20"/>
  <c r="AC10" i="20"/>
  <c r="AC9" i="20"/>
  <c r="AB9" i="20"/>
  <c r="AE9" i="20"/>
  <c r="F26" i="15"/>
  <c r="S28" i="19"/>
  <c r="K28" i="19"/>
  <c r="C28" i="19"/>
  <c r="B154" i="15" s="1"/>
  <c r="Q28" i="19"/>
  <c r="I28" i="19"/>
  <c r="O28" i="19"/>
  <c r="M28" i="19"/>
  <c r="G28" i="19"/>
  <c r="E28" i="19"/>
  <c r="A156" i="15"/>
  <c r="A29" i="19"/>
  <c r="K13" i="19"/>
  <c r="M13" i="19"/>
  <c r="M8" i="16"/>
  <c r="M9" i="16" s="1"/>
  <c r="G8" i="16"/>
  <c r="G9" i="16" s="1"/>
  <c r="A22" i="17"/>
  <c r="E44" i="15"/>
  <c r="I82" i="15"/>
  <c r="G26" i="15"/>
  <c r="H25" i="15"/>
  <c r="F24" i="15"/>
  <c r="I144" i="5"/>
  <c r="I143" i="5"/>
  <c r="I142" i="5"/>
  <c r="I141" i="5"/>
  <c r="I140" i="5"/>
  <c r="I139" i="5"/>
  <c r="C135" i="5"/>
  <c r="C136" i="5" s="1"/>
  <c r="C137" i="5" s="1"/>
  <c r="C138" i="5" s="1"/>
  <c r="C139" i="5" s="1"/>
  <c r="C140" i="5" s="1"/>
  <c r="C141" i="5" s="1"/>
  <c r="C142" i="5" s="1"/>
  <c r="C143" i="5" s="1"/>
  <c r="C144" i="5" s="1"/>
  <c r="C134" i="5"/>
  <c r="F45" i="15" l="1"/>
  <c r="E46" i="15"/>
  <c r="G3" i="22"/>
  <c r="F9" i="22"/>
  <c r="F4" i="22"/>
  <c r="F5" i="22" s="1"/>
  <c r="F8" i="22"/>
  <c r="Q29" i="19"/>
  <c r="I29" i="19"/>
  <c r="O29" i="19"/>
  <c r="G29" i="19"/>
  <c r="M29" i="19"/>
  <c r="K29" i="19"/>
  <c r="E29" i="19"/>
  <c r="S29" i="19"/>
  <c r="C29" i="19"/>
  <c r="B155" i="15" s="1"/>
  <c r="A157" i="15"/>
  <c r="A30" i="19"/>
  <c r="A23" i="17"/>
  <c r="F44" i="15"/>
  <c r="J82" i="15"/>
  <c r="H26" i="15"/>
  <c r="I25" i="15"/>
  <c r="G24" i="15"/>
  <c r="J51" i="10"/>
  <c r="I51" i="10"/>
  <c r="H51" i="10"/>
  <c r="G51" i="10"/>
  <c r="F51" i="10"/>
  <c r="E51" i="10"/>
  <c r="D51" i="10"/>
  <c r="C51" i="10"/>
  <c r="J40" i="10"/>
  <c r="I40" i="10"/>
  <c r="H40" i="10"/>
  <c r="G40" i="10"/>
  <c r="F40" i="10"/>
  <c r="E40" i="10"/>
  <c r="D40" i="10"/>
  <c r="C40" i="10"/>
  <c r="B40" i="10"/>
  <c r="C22" i="10"/>
  <c r="C23" i="10" s="1"/>
  <c r="D21" i="10"/>
  <c r="G18" i="10"/>
  <c r="E18" i="10"/>
  <c r="F18" i="10" s="1"/>
  <c r="D18" i="10"/>
  <c r="I17" i="10"/>
  <c r="H17" i="10"/>
  <c r="F17" i="10"/>
  <c r="I16" i="10"/>
  <c r="H16" i="10"/>
  <c r="F16" i="10"/>
  <c r="I15" i="10"/>
  <c r="I18" i="10" s="1"/>
  <c r="H15" i="10"/>
  <c r="F15" i="10"/>
  <c r="I14" i="10"/>
  <c r="H14" i="10"/>
  <c r="F14" i="10"/>
  <c r="E8" i="10"/>
  <c r="F7" i="10"/>
  <c r="G7" i="10" s="1"/>
  <c r="E7" i="10"/>
  <c r="H3" i="22" l="1"/>
  <c r="G8" i="22"/>
  <c r="G4" i="22"/>
  <c r="G5" i="22" s="1"/>
  <c r="G9" i="22"/>
  <c r="F46" i="15"/>
  <c r="G45" i="15"/>
  <c r="I26" i="15"/>
  <c r="P25" i="15"/>
  <c r="P26" i="15" s="1"/>
  <c r="H18" i="10"/>
  <c r="O30" i="19"/>
  <c r="G30" i="19"/>
  <c r="M30" i="19"/>
  <c r="E30" i="19"/>
  <c r="K30" i="19"/>
  <c r="I30" i="19"/>
  <c r="S30" i="19"/>
  <c r="C30" i="19"/>
  <c r="B156" i="15" s="1"/>
  <c r="Q30" i="19"/>
  <c r="A158" i="15"/>
  <c r="A31" i="19"/>
  <c r="A24" i="17"/>
  <c r="G44" i="15"/>
  <c r="C89" i="15"/>
  <c r="H24" i="15"/>
  <c r="H4" i="10"/>
  <c r="F8" i="10"/>
  <c r="B2" i="10"/>
  <c r="E21" i="10"/>
  <c r="D22" i="10"/>
  <c r="J44" i="9"/>
  <c r="I44" i="9"/>
  <c r="H44" i="9"/>
  <c r="G44" i="9"/>
  <c r="F44" i="9"/>
  <c r="E44" i="9"/>
  <c r="D44" i="9"/>
  <c r="C44" i="9"/>
  <c r="B44" i="9"/>
  <c r="O5" i="2"/>
  <c r="C26" i="9"/>
  <c r="D26" i="9" s="1"/>
  <c r="G46" i="15" l="1"/>
  <c r="H45" i="15"/>
  <c r="I3" i="22"/>
  <c r="H9" i="22"/>
  <c r="H8" i="22"/>
  <c r="H4" i="22"/>
  <c r="H5" i="22" s="1"/>
  <c r="M31" i="19"/>
  <c r="E31" i="19"/>
  <c r="S31" i="19"/>
  <c r="K31" i="19"/>
  <c r="C31" i="19"/>
  <c r="B157" i="15" s="1"/>
  <c r="I31" i="19"/>
  <c r="G31" i="19"/>
  <c r="Q31" i="19"/>
  <c r="O31" i="19"/>
  <c r="A159" i="15"/>
  <c r="A32" i="19"/>
  <c r="A25" i="17"/>
  <c r="H44" i="15"/>
  <c r="D89" i="15"/>
  <c r="I24" i="15"/>
  <c r="P24" i="15" s="1"/>
  <c r="J39" i="10"/>
  <c r="G8" i="10"/>
  <c r="D23" i="10"/>
  <c r="E22" i="10"/>
  <c r="F21" i="10"/>
  <c r="E26" i="9"/>
  <c r="D27" i="9"/>
  <c r="C27" i="9"/>
  <c r="I21" i="9"/>
  <c r="I20" i="9"/>
  <c r="I19" i="9"/>
  <c r="I18" i="9"/>
  <c r="H21" i="9"/>
  <c r="H20" i="9"/>
  <c r="H19" i="9"/>
  <c r="H18" i="9"/>
  <c r="F21" i="9"/>
  <c r="F20" i="9"/>
  <c r="F19" i="9"/>
  <c r="D22" i="9"/>
  <c r="F18" i="9"/>
  <c r="G22" i="9"/>
  <c r="E22" i="9"/>
  <c r="I8" i="22" l="1"/>
  <c r="I9" i="22"/>
  <c r="J3" i="22"/>
  <c r="I4" i="22"/>
  <c r="I5" i="22" s="1"/>
  <c r="H46" i="15"/>
  <c r="I45" i="15"/>
  <c r="I46" i="15" s="1"/>
  <c r="S32" i="19"/>
  <c r="K32" i="19"/>
  <c r="C32" i="19"/>
  <c r="B158" i="15" s="1"/>
  <c r="Q32" i="19"/>
  <c r="I32" i="19"/>
  <c r="G32" i="19"/>
  <c r="E32" i="19"/>
  <c r="O32" i="19"/>
  <c r="M32" i="19"/>
  <c r="A160" i="15"/>
  <c r="A33" i="19"/>
  <c r="A26" i="17"/>
  <c r="I44" i="15"/>
  <c r="E89" i="15"/>
  <c r="E23" i="10"/>
  <c r="F22" i="10"/>
  <c r="G21" i="10"/>
  <c r="F22" i="9"/>
  <c r="H22" i="9"/>
  <c r="I22" i="9"/>
  <c r="F26" i="9"/>
  <c r="E27" i="9"/>
  <c r="J9" i="22" l="1"/>
  <c r="J8" i="22"/>
  <c r="J4" i="22"/>
  <c r="J5" i="22" s="1"/>
  <c r="Q33" i="19"/>
  <c r="I33" i="19"/>
  <c r="G33" i="19"/>
  <c r="O33" i="19"/>
  <c r="E33" i="19"/>
  <c r="S33" i="19"/>
  <c r="C33" i="19"/>
  <c r="B159" i="15" s="1"/>
  <c r="M33" i="19"/>
  <c r="K33" i="19"/>
  <c r="A161" i="15"/>
  <c r="A34" i="19"/>
  <c r="A27" i="17"/>
  <c r="F89" i="15"/>
  <c r="F23" i="10"/>
  <c r="G22" i="10"/>
  <c r="H21" i="10"/>
  <c r="F27" i="9"/>
  <c r="G26" i="9"/>
  <c r="J62" i="9"/>
  <c r="I62" i="9"/>
  <c r="H62" i="9"/>
  <c r="G62" i="9"/>
  <c r="F62" i="9"/>
  <c r="E62" i="9"/>
  <c r="D62" i="9"/>
  <c r="C62" i="9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F7" i="9"/>
  <c r="E8" i="9"/>
  <c r="E7" i="9"/>
  <c r="G7" i="9" l="1"/>
  <c r="O34" i="19"/>
  <c r="G34" i="19"/>
  <c r="M34" i="19"/>
  <c r="E34" i="19"/>
  <c r="S34" i="19"/>
  <c r="C34" i="19"/>
  <c r="B160" i="15" s="1"/>
  <c r="Q34" i="19"/>
  <c r="K34" i="19"/>
  <c r="I34" i="19"/>
  <c r="A162" i="15"/>
  <c r="A35" i="19"/>
  <c r="G89" i="15"/>
  <c r="A89" i="9"/>
  <c r="A69" i="9"/>
  <c r="C25" i="9"/>
  <c r="A43" i="9"/>
  <c r="C138" i="2"/>
  <c r="I21" i="10"/>
  <c r="G23" i="10"/>
  <c r="H22" i="10"/>
  <c r="F8" i="9"/>
  <c r="Q5" i="2"/>
  <c r="A2" i="9"/>
  <c r="H7" i="9"/>
  <c r="G27" i="9"/>
  <c r="H26" i="9"/>
  <c r="H4" i="9"/>
  <c r="M35" i="19" l="1"/>
  <c r="E35" i="19"/>
  <c r="S35" i="19"/>
  <c r="K35" i="19"/>
  <c r="C35" i="19"/>
  <c r="B161" i="15" s="1"/>
  <c r="Q35" i="19"/>
  <c r="O35" i="19"/>
  <c r="I35" i="19"/>
  <c r="G35" i="19"/>
  <c r="A163" i="15"/>
  <c r="A37" i="19" s="1"/>
  <c r="A36" i="19"/>
  <c r="J43" i="9"/>
  <c r="G8" i="9"/>
  <c r="H89" i="15"/>
  <c r="C139" i="2"/>
  <c r="H23" i="10"/>
  <c r="I22" i="10"/>
  <c r="I23" i="10" s="1"/>
  <c r="I26" i="9"/>
  <c r="I27" i="9" s="1"/>
  <c r="H27" i="9"/>
  <c r="H8" i="9"/>
  <c r="D25" i="9"/>
  <c r="Q37" i="19" l="1"/>
  <c r="I37" i="19"/>
  <c r="O37" i="19"/>
  <c r="G37" i="19"/>
  <c r="M37" i="19"/>
  <c r="K37" i="19"/>
  <c r="E37" i="19"/>
  <c r="S37" i="19"/>
  <c r="C37" i="19"/>
  <c r="B163" i="15" s="1"/>
  <c r="S36" i="19"/>
  <c r="K36" i="19"/>
  <c r="C36" i="19"/>
  <c r="B162" i="15" s="1"/>
  <c r="Q36" i="19"/>
  <c r="I36" i="19"/>
  <c r="O36" i="19"/>
  <c r="M36" i="19"/>
  <c r="G36" i="19"/>
  <c r="E36" i="19"/>
  <c r="C140" i="2"/>
  <c r="E25" i="9"/>
  <c r="C141" i="2" l="1"/>
  <c r="F25" i="9"/>
  <c r="C142" i="2" l="1"/>
  <c r="G25" i="9"/>
  <c r="C143" i="2" l="1"/>
  <c r="H25" i="9"/>
  <c r="C144" i="2" l="1"/>
  <c r="I25" i="9"/>
  <c r="C145" i="2" l="1"/>
  <c r="O5" i="5"/>
  <c r="C146" i="2" l="1"/>
  <c r="C15" i="7"/>
  <c r="X3" i="5"/>
  <c r="F22" i="8"/>
  <c r="F21" i="8"/>
  <c r="AA3" i="6" l="1"/>
  <c r="A5" i="4" l="1"/>
  <c r="J4" i="4"/>
  <c r="I4" i="4"/>
  <c r="H4" i="4"/>
  <c r="G4" i="4"/>
  <c r="F4" i="4"/>
  <c r="E4" i="4"/>
  <c r="D4" i="4"/>
  <c r="C4" i="4"/>
  <c r="B4" i="4"/>
  <c r="N8" i="2" l="1"/>
  <c r="B24" i="2"/>
  <c r="B31" i="2" s="1"/>
  <c r="B38" i="2" s="1"/>
  <c r="B45" i="2" s="1"/>
  <c r="B52" i="2" s="1"/>
  <c r="B59" i="2" s="1"/>
  <c r="B66" i="2" s="1"/>
  <c r="B73" i="2" s="1"/>
  <c r="B80" i="2" s="1"/>
  <c r="B87" i="2" s="1"/>
  <c r="B94" i="2" s="1"/>
  <c r="B101" i="2" s="1"/>
  <c r="B108" i="2" s="1"/>
  <c r="B115" i="2" s="1"/>
  <c r="B122" i="2" s="1"/>
  <c r="B129" i="2" s="1"/>
  <c r="B136" i="2" s="1"/>
  <c r="B143" i="2" s="1"/>
  <c r="B23" i="2"/>
  <c r="B30" i="2" s="1"/>
  <c r="B37" i="2" s="1"/>
  <c r="B44" i="2" s="1"/>
  <c r="B51" i="2" s="1"/>
  <c r="B58" i="2" s="1"/>
  <c r="B65" i="2" s="1"/>
  <c r="B72" i="2" s="1"/>
  <c r="B79" i="2" s="1"/>
  <c r="B86" i="2" s="1"/>
  <c r="B93" i="2" s="1"/>
  <c r="B100" i="2" s="1"/>
  <c r="B107" i="2" s="1"/>
  <c r="B114" i="2" s="1"/>
  <c r="B121" i="2" s="1"/>
  <c r="B128" i="2" s="1"/>
  <c r="B135" i="2" s="1"/>
  <c r="B142" i="2" s="1"/>
  <c r="B22" i="2"/>
  <c r="B29" i="2" s="1"/>
  <c r="B36" i="2" s="1"/>
  <c r="B43" i="2" s="1"/>
  <c r="B50" i="2" s="1"/>
  <c r="B57" i="2" s="1"/>
  <c r="B64" i="2" s="1"/>
  <c r="B71" i="2" s="1"/>
  <c r="B78" i="2" s="1"/>
  <c r="B85" i="2" s="1"/>
  <c r="B92" i="2" s="1"/>
  <c r="B99" i="2" s="1"/>
  <c r="B106" i="2" s="1"/>
  <c r="B113" i="2" s="1"/>
  <c r="B120" i="2" s="1"/>
  <c r="B127" i="2" s="1"/>
  <c r="B134" i="2" s="1"/>
  <c r="B141" i="2" s="1"/>
  <c r="B21" i="2"/>
  <c r="B28" i="2" s="1"/>
  <c r="B35" i="2" s="1"/>
  <c r="B42" i="2" s="1"/>
  <c r="B49" i="2" s="1"/>
  <c r="B56" i="2" s="1"/>
  <c r="B63" i="2" s="1"/>
  <c r="B70" i="2" s="1"/>
  <c r="B77" i="2" s="1"/>
  <c r="B84" i="2" s="1"/>
  <c r="B91" i="2" s="1"/>
  <c r="B98" i="2" s="1"/>
  <c r="B105" i="2" s="1"/>
  <c r="B112" i="2" s="1"/>
  <c r="B119" i="2" s="1"/>
  <c r="B126" i="2" s="1"/>
  <c r="B133" i="2" s="1"/>
  <c r="B140" i="2" s="1"/>
  <c r="B20" i="2"/>
  <c r="B27" i="2" s="1"/>
  <c r="B34" i="2" s="1"/>
  <c r="B41" i="2" s="1"/>
  <c r="B48" i="2" s="1"/>
  <c r="B55" i="2" s="1"/>
  <c r="B62" i="2" s="1"/>
  <c r="B69" i="2" s="1"/>
  <c r="B76" i="2" s="1"/>
  <c r="B83" i="2" s="1"/>
  <c r="B90" i="2" s="1"/>
  <c r="B97" i="2" s="1"/>
  <c r="B104" i="2" s="1"/>
  <c r="B111" i="2" s="1"/>
  <c r="B118" i="2" s="1"/>
  <c r="B125" i="2" s="1"/>
  <c r="B132" i="2" s="1"/>
  <c r="B139" i="2" s="1"/>
  <c r="B146" i="2" s="1"/>
  <c r="B19" i="2"/>
  <c r="B26" i="2" s="1"/>
  <c r="B33" i="2" s="1"/>
  <c r="B40" i="2" s="1"/>
  <c r="B47" i="2" s="1"/>
  <c r="B54" i="2" s="1"/>
  <c r="B61" i="2" s="1"/>
  <c r="B68" i="2" s="1"/>
  <c r="B75" i="2" s="1"/>
  <c r="B82" i="2" s="1"/>
  <c r="B89" i="2" s="1"/>
  <c r="B96" i="2" s="1"/>
  <c r="B103" i="2" s="1"/>
  <c r="B110" i="2" s="1"/>
  <c r="B117" i="2" s="1"/>
  <c r="B124" i="2" s="1"/>
  <c r="B131" i="2" s="1"/>
  <c r="B138" i="2" s="1"/>
  <c r="B145" i="2" s="1"/>
  <c r="B18" i="2"/>
  <c r="B25" i="2" s="1"/>
  <c r="B32" i="2" s="1"/>
  <c r="B39" i="2" s="1"/>
  <c r="B46" i="2" s="1"/>
  <c r="B53" i="2" s="1"/>
  <c r="B60" i="2" s="1"/>
  <c r="B67" i="2" s="1"/>
  <c r="B74" i="2" s="1"/>
  <c r="B81" i="2" s="1"/>
  <c r="B88" i="2" s="1"/>
  <c r="B95" i="2" s="1"/>
  <c r="B102" i="2" s="1"/>
  <c r="B109" i="2" s="1"/>
  <c r="B116" i="2" s="1"/>
  <c r="B123" i="2" s="1"/>
  <c r="B130" i="2" s="1"/>
  <c r="B137" i="2" s="1"/>
  <c r="B144" i="2" s="1"/>
  <c r="L10" i="2"/>
  <c r="L8" i="2" a="1"/>
  <c r="L8" i="2" s="1"/>
  <c r="L7" i="2" a="1"/>
  <c r="L7" i="2" s="1"/>
  <c r="K10" i="2"/>
  <c r="K8" i="2" a="1"/>
  <c r="K8" i="2" s="1"/>
  <c r="J76" i="15" s="1"/>
  <c r="K7" i="2" a="1"/>
  <c r="K7" i="2" s="1"/>
  <c r="J75" i="15" s="1"/>
  <c r="J10" i="2"/>
  <c r="J8" i="2" a="1"/>
  <c r="J8" i="2" s="1"/>
  <c r="I76" i="15" s="1"/>
  <c r="J7" i="2" a="1"/>
  <c r="J7" i="2" s="1"/>
  <c r="I75" i="15" s="1"/>
  <c r="I10" i="2"/>
  <c r="I8" i="2" a="1"/>
  <c r="I8" i="2" s="1"/>
  <c r="H76" i="15" s="1"/>
  <c r="I7" i="2" a="1"/>
  <c r="I7" i="2" s="1"/>
  <c r="H75" i="15" s="1"/>
  <c r="H10" i="2"/>
  <c r="H8" i="2" a="1"/>
  <c r="H8" i="2" s="1"/>
  <c r="G76" i="15" s="1"/>
  <c r="H7" i="2" a="1"/>
  <c r="H7" i="2" s="1"/>
  <c r="G75" i="15" s="1"/>
  <c r="G10" i="2"/>
  <c r="G8" i="2" a="1"/>
  <c r="G8" i="2" s="1"/>
  <c r="F76" i="15" s="1"/>
  <c r="G7" i="2" a="1"/>
  <c r="G7" i="2" s="1"/>
  <c r="F75" i="15" s="1"/>
  <c r="C1548" i="1"/>
  <c r="K1548" i="1" s="1"/>
  <c r="C1547" i="1"/>
  <c r="K1547" i="1" s="1"/>
  <c r="C1546" i="1"/>
  <c r="K1546" i="1" s="1"/>
  <c r="C1545" i="1"/>
  <c r="K1545" i="1" s="1"/>
  <c r="C1544" i="1"/>
  <c r="K1544" i="1" s="1"/>
  <c r="C1543" i="1"/>
  <c r="K1543" i="1" s="1"/>
  <c r="C1542" i="1"/>
  <c r="K1542" i="1" s="1"/>
  <c r="C1541" i="1"/>
  <c r="K1541" i="1" s="1"/>
  <c r="C1540" i="1"/>
  <c r="K1540" i="1" s="1"/>
  <c r="C1539" i="1"/>
  <c r="K1539" i="1" s="1"/>
  <c r="C1538" i="1"/>
  <c r="K1538" i="1" s="1"/>
  <c r="C1537" i="1"/>
  <c r="K1537" i="1" s="1"/>
  <c r="C1536" i="1"/>
  <c r="K1536" i="1" s="1"/>
  <c r="C1535" i="1"/>
  <c r="K1535" i="1" s="1"/>
  <c r="C1534" i="1"/>
  <c r="K1534" i="1" s="1"/>
  <c r="C1533" i="1"/>
  <c r="K1533" i="1" s="1"/>
  <c r="C1532" i="1"/>
  <c r="K1532" i="1" s="1"/>
  <c r="C1531" i="1"/>
  <c r="K1531" i="1" s="1"/>
  <c r="C1530" i="1"/>
  <c r="K1530" i="1" s="1"/>
  <c r="C1529" i="1"/>
  <c r="K1529" i="1" s="1"/>
  <c r="C1528" i="1"/>
  <c r="K1528" i="1" s="1"/>
  <c r="C1527" i="1"/>
  <c r="K1527" i="1" s="1"/>
  <c r="C1526" i="1"/>
  <c r="K1526" i="1" s="1"/>
  <c r="C1525" i="1"/>
  <c r="K1525" i="1" s="1"/>
  <c r="C1524" i="1"/>
  <c r="K1524" i="1" s="1"/>
  <c r="C1523" i="1"/>
  <c r="K1523" i="1" s="1"/>
  <c r="C1522" i="1"/>
  <c r="K1522" i="1" s="1"/>
  <c r="C1521" i="1"/>
  <c r="K1521" i="1" s="1"/>
  <c r="C1520" i="1"/>
  <c r="K1520" i="1" s="1"/>
  <c r="C1519" i="1"/>
  <c r="K1519" i="1" s="1"/>
  <c r="C1518" i="1"/>
  <c r="K1518" i="1" s="1"/>
  <c r="C1517" i="1"/>
  <c r="K1517" i="1" s="1"/>
  <c r="C1516" i="1"/>
  <c r="K1516" i="1" s="1"/>
  <c r="C1515" i="1"/>
  <c r="K1515" i="1" s="1"/>
  <c r="C1514" i="1"/>
  <c r="K1514" i="1" s="1"/>
  <c r="C1513" i="1"/>
  <c r="K1513" i="1" s="1"/>
  <c r="C1512" i="1"/>
  <c r="K1512" i="1" s="1"/>
  <c r="C1511" i="1"/>
  <c r="K1511" i="1" s="1"/>
  <c r="C1510" i="1"/>
  <c r="K1510" i="1" s="1"/>
  <c r="C1509" i="1"/>
  <c r="K1509" i="1" s="1"/>
  <c r="C1508" i="1"/>
  <c r="K1508" i="1" s="1"/>
  <c r="C1507" i="1"/>
  <c r="K1507" i="1" s="1"/>
  <c r="C1506" i="1"/>
  <c r="K1506" i="1" s="1"/>
  <c r="C1505" i="1"/>
  <c r="K1505" i="1" s="1"/>
  <c r="C1504" i="1"/>
  <c r="K1504" i="1" s="1"/>
  <c r="C1503" i="1"/>
  <c r="K1503" i="1" s="1"/>
  <c r="C1502" i="1"/>
  <c r="K1502" i="1" s="1"/>
  <c r="C1501" i="1"/>
  <c r="K1501" i="1" s="1"/>
  <c r="C1500" i="1"/>
  <c r="K1500" i="1" s="1"/>
  <c r="C1499" i="1"/>
  <c r="K1499" i="1" s="1"/>
  <c r="C1498" i="1"/>
  <c r="K1498" i="1" s="1"/>
  <c r="C1497" i="1"/>
  <c r="K1497" i="1" s="1"/>
  <c r="C1496" i="1"/>
  <c r="K1496" i="1" s="1"/>
  <c r="C1495" i="1"/>
  <c r="K1495" i="1" s="1"/>
  <c r="C1494" i="1"/>
  <c r="K1494" i="1" s="1"/>
  <c r="C1493" i="1"/>
  <c r="K1493" i="1" s="1"/>
  <c r="C1492" i="1"/>
  <c r="K1492" i="1" s="1"/>
  <c r="C1491" i="1"/>
  <c r="K1491" i="1" s="1"/>
  <c r="C1490" i="1"/>
  <c r="K1490" i="1" s="1"/>
  <c r="C1489" i="1"/>
  <c r="K1489" i="1" s="1"/>
  <c r="C1488" i="1"/>
  <c r="K1488" i="1" s="1"/>
  <c r="C1487" i="1"/>
  <c r="K1487" i="1" s="1"/>
  <c r="C1486" i="1"/>
  <c r="K1486" i="1" s="1"/>
  <c r="C1485" i="1"/>
  <c r="K1485" i="1" s="1"/>
  <c r="C1484" i="1"/>
  <c r="K1484" i="1" s="1"/>
  <c r="C1483" i="1"/>
  <c r="K1483" i="1" s="1"/>
  <c r="C1482" i="1"/>
  <c r="K1482" i="1" s="1"/>
  <c r="C1481" i="1"/>
  <c r="K1481" i="1" s="1"/>
  <c r="C1480" i="1"/>
  <c r="K1480" i="1" s="1"/>
  <c r="C1479" i="1"/>
  <c r="K1479" i="1" s="1"/>
  <c r="C1478" i="1"/>
  <c r="K1478" i="1" s="1"/>
  <c r="C1477" i="1"/>
  <c r="K1477" i="1" s="1"/>
  <c r="C1476" i="1"/>
  <c r="K1476" i="1" s="1"/>
  <c r="C1475" i="1"/>
  <c r="K1475" i="1" s="1"/>
  <c r="C1474" i="1"/>
  <c r="K1474" i="1" s="1"/>
  <c r="C1473" i="1"/>
  <c r="K1473" i="1" s="1"/>
  <c r="C1472" i="1"/>
  <c r="K1472" i="1" s="1"/>
  <c r="C1471" i="1"/>
  <c r="K1471" i="1" s="1"/>
  <c r="C1470" i="1"/>
  <c r="K1470" i="1" s="1"/>
  <c r="C1469" i="1"/>
  <c r="K1469" i="1" s="1"/>
  <c r="C1468" i="1"/>
  <c r="K1468" i="1" s="1"/>
  <c r="C1467" i="1"/>
  <c r="K1467" i="1" s="1"/>
  <c r="C1466" i="1"/>
  <c r="K1466" i="1" s="1"/>
  <c r="C1465" i="1"/>
  <c r="K1465" i="1" s="1"/>
  <c r="C1464" i="1"/>
  <c r="K1464" i="1" s="1"/>
  <c r="C1463" i="1"/>
  <c r="K1463" i="1" s="1"/>
  <c r="C1462" i="1"/>
  <c r="K1462" i="1" s="1"/>
  <c r="C1461" i="1"/>
  <c r="K1461" i="1" s="1"/>
  <c r="C1460" i="1"/>
  <c r="K1460" i="1" s="1"/>
  <c r="C1459" i="1"/>
  <c r="K1459" i="1" s="1"/>
  <c r="C1458" i="1"/>
  <c r="K1458" i="1" s="1"/>
  <c r="C1457" i="1"/>
  <c r="K1457" i="1" s="1"/>
  <c r="C1456" i="1"/>
  <c r="K1456" i="1" s="1"/>
  <c r="C1455" i="1"/>
  <c r="K1455" i="1" s="1"/>
  <c r="C1454" i="1"/>
  <c r="K1454" i="1" s="1"/>
  <c r="C1453" i="1"/>
  <c r="K1453" i="1" s="1"/>
  <c r="C1452" i="1"/>
  <c r="K1452" i="1" s="1"/>
  <c r="C1451" i="1"/>
  <c r="K1451" i="1" s="1"/>
  <c r="C1450" i="1"/>
  <c r="K1450" i="1" s="1"/>
  <c r="C1449" i="1"/>
  <c r="K1449" i="1" s="1"/>
  <c r="C1448" i="1"/>
  <c r="K1448" i="1" s="1"/>
  <c r="C1447" i="1"/>
  <c r="K1447" i="1" s="1"/>
  <c r="C1446" i="1"/>
  <c r="K1446" i="1" s="1"/>
  <c r="C1445" i="1"/>
  <c r="K1445" i="1" s="1"/>
  <c r="C1444" i="1"/>
  <c r="K1444" i="1" s="1"/>
  <c r="C1443" i="1"/>
  <c r="K1443" i="1" s="1"/>
  <c r="C1442" i="1"/>
  <c r="K1442" i="1" s="1"/>
  <c r="C1441" i="1"/>
  <c r="K1441" i="1" s="1"/>
  <c r="C1440" i="1"/>
  <c r="K1440" i="1" s="1"/>
  <c r="C1439" i="1"/>
  <c r="K1439" i="1" s="1"/>
  <c r="C1438" i="1"/>
  <c r="K1438" i="1" s="1"/>
  <c r="C1437" i="1"/>
  <c r="K1437" i="1" s="1"/>
  <c r="C1436" i="1"/>
  <c r="K1436" i="1" s="1"/>
  <c r="C1435" i="1"/>
  <c r="K1435" i="1" s="1"/>
  <c r="C1434" i="1"/>
  <c r="K1434" i="1" s="1"/>
  <c r="C1433" i="1"/>
  <c r="K1433" i="1" s="1"/>
  <c r="C1432" i="1"/>
  <c r="K1432" i="1" s="1"/>
  <c r="C1431" i="1"/>
  <c r="K1431" i="1" s="1"/>
  <c r="C1430" i="1"/>
  <c r="K1430" i="1" s="1"/>
  <c r="C1429" i="1"/>
  <c r="K1429" i="1" s="1"/>
  <c r="C1428" i="1"/>
  <c r="K1428" i="1" s="1"/>
  <c r="C1427" i="1"/>
  <c r="K1427" i="1" s="1"/>
  <c r="C1426" i="1"/>
  <c r="K1426" i="1" s="1"/>
  <c r="C1425" i="1"/>
  <c r="K1425" i="1" s="1"/>
  <c r="C1424" i="1"/>
  <c r="K1424" i="1" s="1"/>
  <c r="C1423" i="1"/>
  <c r="K1423" i="1" s="1"/>
  <c r="C1422" i="1"/>
  <c r="K1422" i="1" s="1"/>
  <c r="C1421" i="1"/>
  <c r="K1421" i="1" s="1"/>
  <c r="C1420" i="1"/>
  <c r="K1420" i="1" s="1"/>
  <c r="C1419" i="1"/>
  <c r="K1419" i="1" s="1"/>
  <c r="C1418" i="1"/>
  <c r="K1418" i="1" s="1"/>
  <c r="C1417" i="1"/>
  <c r="K1417" i="1" s="1"/>
  <c r="C1416" i="1"/>
  <c r="K1416" i="1" s="1"/>
  <c r="C1415" i="1"/>
  <c r="K1415" i="1" s="1"/>
  <c r="C1414" i="1"/>
  <c r="K1414" i="1" s="1"/>
  <c r="C1413" i="1"/>
  <c r="K1413" i="1" s="1"/>
  <c r="C1412" i="1"/>
  <c r="K1412" i="1" s="1"/>
  <c r="C1411" i="1"/>
  <c r="K1411" i="1" s="1"/>
  <c r="C1410" i="1"/>
  <c r="K1410" i="1" s="1"/>
  <c r="C1409" i="1"/>
  <c r="K1409" i="1" s="1"/>
  <c r="C1408" i="1"/>
  <c r="K1408" i="1" s="1"/>
  <c r="C1407" i="1"/>
  <c r="K1407" i="1" s="1"/>
  <c r="C1406" i="1"/>
  <c r="K1406" i="1" s="1"/>
  <c r="C1405" i="1"/>
  <c r="K1405" i="1" s="1"/>
  <c r="C1404" i="1"/>
  <c r="K1404" i="1" s="1"/>
  <c r="C1403" i="1"/>
  <c r="K1403" i="1" s="1"/>
  <c r="C1402" i="1"/>
  <c r="K1402" i="1" s="1"/>
  <c r="C1401" i="1"/>
  <c r="K1401" i="1" s="1"/>
  <c r="C1400" i="1"/>
  <c r="K1400" i="1" s="1"/>
  <c r="C1399" i="1"/>
  <c r="K1399" i="1" s="1"/>
  <c r="C1398" i="1"/>
  <c r="K1398" i="1" s="1"/>
  <c r="C1397" i="1"/>
  <c r="K1397" i="1" s="1"/>
  <c r="C1396" i="1"/>
  <c r="K1396" i="1" s="1"/>
  <c r="C1395" i="1"/>
  <c r="K1395" i="1" s="1"/>
  <c r="C1394" i="1"/>
  <c r="K1394" i="1" s="1"/>
  <c r="C1393" i="1"/>
  <c r="K1393" i="1" s="1"/>
  <c r="C1392" i="1"/>
  <c r="K1392" i="1" s="1"/>
  <c r="C1391" i="1"/>
  <c r="K1391" i="1" s="1"/>
  <c r="C1390" i="1"/>
  <c r="K1390" i="1" s="1"/>
  <c r="C1389" i="1"/>
  <c r="K1389" i="1" s="1"/>
  <c r="C1388" i="1"/>
  <c r="K1388" i="1" s="1"/>
  <c r="C1387" i="1"/>
  <c r="K1387" i="1" s="1"/>
  <c r="C1386" i="1"/>
  <c r="K1386" i="1" s="1"/>
  <c r="C1385" i="1"/>
  <c r="K1385" i="1" s="1"/>
  <c r="C1384" i="1"/>
  <c r="K1384" i="1" s="1"/>
  <c r="C1383" i="1"/>
  <c r="K1383" i="1" s="1"/>
  <c r="C1382" i="1"/>
  <c r="K1382" i="1" s="1"/>
  <c r="C1381" i="1"/>
  <c r="K1381" i="1" s="1"/>
  <c r="C1380" i="1"/>
  <c r="K1380" i="1" s="1"/>
  <c r="C1379" i="1"/>
  <c r="K1379" i="1" s="1"/>
  <c r="C1378" i="1"/>
  <c r="K1378" i="1" s="1"/>
  <c r="C1377" i="1"/>
  <c r="K1377" i="1" s="1"/>
  <c r="C1376" i="1"/>
  <c r="K1376" i="1" s="1"/>
  <c r="C1375" i="1"/>
  <c r="K1375" i="1" s="1"/>
  <c r="C1374" i="1"/>
  <c r="K1374" i="1" s="1"/>
  <c r="C1373" i="1"/>
  <c r="K1373" i="1" s="1"/>
  <c r="C1372" i="1"/>
  <c r="K1372" i="1" s="1"/>
  <c r="C1371" i="1"/>
  <c r="K1371" i="1" s="1"/>
  <c r="C1370" i="1"/>
  <c r="K1370" i="1" s="1"/>
  <c r="C1369" i="1"/>
  <c r="K1369" i="1" s="1"/>
  <c r="C1368" i="1"/>
  <c r="K1368" i="1" s="1"/>
  <c r="C1367" i="1"/>
  <c r="K1367" i="1" s="1"/>
  <c r="C1366" i="1"/>
  <c r="K1366" i="1" s="1"/>
  <c r="C1365" i="1"/>
  <c r="K1365" i="1" s="1"/>
  <c r="C1364" i="1"/>
  <c r="K1364" i="1" s="1"/>
  <c r="C1363" i="1"/>
  <c r="K1363" i="1" s="1"/>
  <c r="C1362" i="1"/>
  <c r="K1362" i="1" s="1"/>
  <c r="C1361" i="1"/>
  <c r="K1361" i="1" s="1"/>
  <c r="C1360" i="1"/>
  <c r="K1360" i="1" s="1"/>
  <c r="C1359" i="1"/>
  <c r="K1359" i="1" s="1"/>
  <c r="C1358" i="1"/>
  <c r="K1358" i="1" s="1"/>
  <c r="C1357" i="1"/>
  <c r="K1357" i="1" s="1"/>
  <c r="C1356" i="1"/>
  <c r="K1356" i="1" s="1"/>
  <c r="C1355" i="1"/>
  <c r="K1355" i="1" s="1"/>
  <c r="C1354" i="1"/>
  <c r="K1354" i="1" s="1"/>
  <c r="C1353" i="1"/>
  <c r="K1353" i="1" s="1"/>
  <c r="C1352" i="1"/>
  <c r="K1352" i="1" s="1"/>
  <c r="C1351" i="1"/>
  <c r="K1351" i="1" s="1"/>
  <c r="C1350" i="1"/>
  <c r="K1350" i="1" s="1"/>
  <c r="C1349" i="1"/>
  <c r="K1349" i="1" s="1"/>
  <c r="C1348" i="1"/>
  <c r="K1348" i="1" s="1"/>
  <c r="C1347" i="1"/>
  <c r="K1347" i="1" s="1"/>
  <c r="C1346" i="1"/>
  <c r="K1346" i="1" s="1"/>
  <c r="C1345" i="1"/>
  <c r="K1345" i="1" s="1"/>
  <c r="C1344" i="1"/>
  <c r="K1344" i="1" s="1"/>
  <c r="C1343" i="1"/>
  <c r="K1343" i="1" s="1"/>
  <c r="C1342" i="1"/>
  <c r="K1342" i="1" s="1"/>
  <c r="C1341" i="1"/>
  <c r="K1341" i="1" s="1"/>
  <c r="C1340" i="1"/>
  <c r="K1340" i="1" s="1"/>
  <c r="C1339" i="1"/>
  <c r="K1339" i="1" s="1"/>
  <c r="C1338" i="1"/>
  <c r="K1338" i="1" s="1"/>
  <c r="C1337" i="1"/>
  <c r="K1337" i="1" s="1"/>
  <c r="C1336" i="1"/>
  <c r="K1336" i="1" s="1"/>
  <c r="C1335" i="1"/>
  <c r="K1335" i="1" s="1"/>
  <c r="C1334" i="1"/>
  <c r="K1334" i="1" s="1"/>
  <c r="C1333" i="1"/>
  <c r="K1333" i="1" s="1"/>
  <c r="C1332" i="1"/>
  <c r="K1332" i="1" s="1"/>
  <c r="C1331" i="1"/>
  <c r="K1331" i="1" s="1"/>
  <c r="C1330" i="1"/>
  <c r="K1330" i="1" s="1"/>
  <c r="C1329" i="1"/>
  <c r="K1329" i="1" s="1"/>
  <c r="C1328" i="1"/>
  <c r="K1328" i="1" s="1"/>
  <c r="C1327" i="1"/>
  <c r="K1327" i="1" s="1"/>
  <c r="C1326" i="1"/>
  <c r="K1326" i="1" s="1"/>
  <c r="C1325" i="1"/>
  <c r="K1325" i="1" s="1"/>
  <c r="C1324" i="1"/>
  <c r="K1324" i="1" s="1"/>
  <c r="C1323" i="1"/>
  <c r="K1323" i="1" s="1"/>
  <c r="C1322" i="1"/>
  <c r="K1322" i="1" s="1"/>
  <c r="C1321" i="1"/>
  <c r="K1321" i="1" s="1"/>
  <c r="C1320" i="1"/>
  <c r="K1320" i="1" s="1"/>
  <c r="C1319" i="1"/>
  <c r="K1319" i="1" s="1"/>
  <c r="C1318" i="1"/>
  <c r="K1318" i="1" s="1"/>
  <c r="C1317" i="1"/>
  <c r="K1317" i="1" s="1"/>
  <c r="C1316" i="1"/>
  <c r="K1316" i="1" s="1"/>
  <c r="C1315" i="1"/>
  <c r="K1315" i="1" s="1"/>
  <c r="C1314" i="1"/>
  <c r="K1314" i="1" s="1"/>
  <c r="C1313" i="1"/>
  <c r="K1313" i="1" s="1"/>
  <c r="C1312" i="1"/>
  <c r="K1312" i="1" s="1"/>
  <c r="C1311" i="1"/>
  <c r="K1311" i="1" s="1"/>
  <c r="C1310" i="1"/>
  <c r="K1310" i="1" s="1"/>
  <c r="C1309" i="1"/>
  <c r="K1309" i="1" s="1"/>
  <c r="C1308" i="1"/>
  <c r="K1308" i="1" s="1"/>
  <c r="C1307" i="1"/>
  <c r="K1307" i="1" s="1"/>
  <c r="C1306" i="1"/>
  <c r="K1306" i="1" s="1"/>
  <c r="C1305" i="1"/>
  <c r="K1305" i="1" s="1"/>
  <c r="C1304" i="1"/>
  <c r="K1304" i="1" s="1"/>
  <c r="C1303" i="1"/>
  <c r="K1303" i="1" s="1"/>
  <c r="C1302" i="1"/>
  <c r="K1302" i="1" s="1"/>
  <c r="C1301" i="1"/>
  <c r="K1301" i="1" s="1"/>
  <c r="C1300" i="1"/>
  <c r="K1300" i="1" s="1"/>
  <c r="C1299" i="1"/>
  <c r="K1299" i="1" s="1"/>
  <c r="C1298" i="1"/>
  <c r="K1298" i="1" s="1"/>
  <c r="C1297" i="1"/>
  <c r="K1297" i="1" s="1"/>
  <c r="C1296" i="1"/>
  <c r="K1296" i="1" s="1"/>
  <c r="C1295" i="1"/>
  <c r="K1295" i="1" s="1"/>
  <c r="C1294" i="1"/>
  <c r="K1294" i="1" s="1"/>
  <c r="C1293" i="1"/>
  <c r="K1293" i="1" s="1"/>
  <c r="C1292" i="1"/>
  <c r="K1292" i="1" s="1"/>
  <c r="C1291" i="1"/>
  <c r="K1291" i="1" s="1"/>
  <c r="C1290" i="1"/>
  <c r="K1290" i="1" s="1"/>
  <c r="C1289" i="1"/>
  <c r="K1289" i="1" s="1"/>
  <c r="C1288" i="1"/>
  <c r="K1288" i="1" s="1"/>
  <c r="C1287" i="1"/>
  <c r="K1287" i="1" s="1"/>
  <c r="C1286" i="1"/>
  <c r="K1286" i="1" s="1"/>
  <c r="C1285" i="1"/>
  <c r="K1285" i="1" s="1"/>
  <c r="C1284" i="1"/>
  <c r="K1284" i="1" s="1"/>
  <c r="C1283" i="1"/>
  <c r="K1283" i="1" s="1"/>
  <c r="C1282" i="1"/>
  <c r="K1282" i="1" s="1"/>
  <c r="C1281" i="1"/>
  <c r="K1281" i="1" s="1"/>
  <c r="C1280" i="1"/>
  <c r="K1280" i="1" s="1"/>
  <c r="C1279" i="1"/>
  <c r="K1279" i="1" s="1"/>
  <c r="C1278" i="1"/>
  <c r="K1278" i="1" s="1"/>
  <c r="C1277" i="1"/>
  <c r="K1277" i="1" s="1"/>
  <c r="C1276" i="1"/>
  <c r="K1276" i="1" s="1"/>
  <c r="C1275" i="1"/>
  <c r="K1275" i="1" s="1"/>
  <c r="C1274" i="1"/>
  <c r="K1274" i="1" s="1"/>
  <c r="C1273" i="1"/>
  <c r="K1273" i="1" s="1"/>
  <c r="C1272" i="1"/>
  <c r="K1272" i="1" s="1"/>
  <c r="C1271" i="1"/>
  <c r="K1271" i="1" s="1"/>
  <c r="C1270" i="1"/>
  <c r="K1270" i="1" s="1"/>
  <c r="C1269" i="1"/>
  <c r="K1269" i="1" s="1"/>
  <c r="C1268" i="1"/>
  <c r="K1268" i="1" s="1"/>
  <c r="C1267" i="1"/>
  <c r="K1267" i="1" s="1"/>
  <c r="C1266" i="1"/>
  <c r="K1266" i="1" s="1"/>
  <c r="C1265" i="1"/>
  <c r="K1265" i="1" s="1"/>
  <c r="C1264" i="1"/>
  <c r="K1264" i="1" s="1"/>
  <c r="C1263" i="1"/>
  <c r="K1263" i="1" s="1"/>
  <c r="C1262" i="1"/>
  <c r="K1262" i="1" s="1"/>
  <c r="C1261" i="1"/>
  <c r="K1261" i="1" s="1"/>
  <c r="C1260" i="1"/>
  <c r="K1260" i="1" s="1"/>
  <c r="C1259" i="1"/>
  <c r="K1259" i="1" s="1"/>
  <c r="C1258" i="1"/>
  <c r="K1258" i="1" s="1"/>
  <c r="C1257" i="1"/>
  <c r="K1257" i="1" s="1"/>
  <c r="C1256" i="1"/>
  <c r="K1256" i="1" s="1"/>
  <c r="C1255" i="1"/>
  <c r="K1255" i="1" s="1"/>
  <c r="C1254" i="1"/>
  <c r="K1254" i="1" s="1"/>
  <c r="C1253" i="1"/>
  <c r="K1253" i="1" s="1"/>
  <c r="C1252" i="1"/>
  <c r="K1252" i="1" s="1"/>
  <c r="C1251" i="1"/>
  <c r="K1251" i="1" s="1"/>
  <c r="C1250" i="1"/>
  <c r="K1250" i="1" s="1"/>
  <c r="C1249" i="1"/>
  <c r="K1249" i="1" s="1"/>
  <c r="C1248" i="1"/>
  <c r="K1248" i="1" s="1"/>
  <c r="C1247" i="1"/>
  <c r="K1247" i="1" s="1"/>
  <c r="C1246" i="1"/>
  <c r="K1246" i="1" s="1"/>
  <c r="C1245" i="1"/>
  <c r="K1245" i="1" s="1"/>
  <c r="C1244" i="1"/>
  <c r="K1244" i="1" s="1"/>
  <c r="C1243" i="1"/>
  <c r="K1243" i="1" s="1"/>
  <c r="C1242" i="1"/>
  <c r="K1242" i="1" s="1"/>
  <c r="C1241" i="1"/>
  <c r="K1241" i="1" s="1"/>
  <c r="C1240" i="1"/>
  <c r="K1240" i="1" s="1"/>
  <c r="C1239" i="1"/>
  <c r="K1239" i="1" s="1"/>
  <c r="C1238" i="1"/>
  <c r="K1238" i="1" s="1"/>
  <c r="C1237" i="1"/>
  <c r="K1237" i="1" s="1"/>
  <c r="C1236" i="1"/>
  <c r="K1236" i="1" s="1"/>
  <c r="C1235" i="1"/>
  <c r="K1235" i="1" s="1"/>
  <c r="C1234" i="1"/>
  <c r="K1234" i="1" s="1"/>
  <c r="C1233" i="1"/>
  <c r="K1233" i="1" s="1"/>
  <c r="C1232" i="1"/>
  <c r="K1232" i="1" s="1"/>
  <c r="C1231" i="1"/>
  <c r="K1231" i="1" s="1"/>
  <c r="C1230" i="1"/>
  <c r="K1230" i="1" s="1"/>
  <c r="C1229" i="1"/>
  <c r="K1229" i="1" s="1"/>
  <c r="C1228" i="1"/>
  <c r="K1228" i="1" s="1"/>
  <c r="C1227" i="1"/>
  <c r="K1227" i="1" s="1"/>
  <c r="C1226" i="1"/>
  <c r="K1226" i="1" s="1"/>
  <c r="C1225" i="1"/>
  <c r="K1225" i="1" s="1"/>
  <c r="C1224" i="1"/>
  <c r="K1224" i="1" s="1"/>
  <c r="C1223" i="1"/>
  <c r="K1223" i="1" s="1"/>
  <c r="C1222" i="1"/>
  <c r="K1222" i="1" s="1"/>
  <c r="C1221" i="1"/>
  <c r="K1221" i="1" s="1"/>
  <c r="C1220" i="1"/>
  <c r="K1220" i="1" s="1"/>
  <c r="C1219" i="1"/>
  <c r="K1219" i="1" s="1"/>
  <c r="C1218" i="1"/>
  <c r="K1218" i="1" s="1"/>
  <c r="C1217" i="1"/>
  <c r="K1217" i="1" s="1"/>
  <c r="C1216" i="1"/>
  <c r="K1216" i="1" s="1"/>
  <c r="C1215" i="1"/>
  <c r="K1215" i="1" s="1"/>
  <c r="C1214" i="1"/>
  <c r="K1214" i="1" s="1"/>
  <c r="C1213" i="1"/>
  <c r="K1213" i="1" s="1"/>
  <c r="C1212" i="1"/>
  <c r="K1212" i="1" s="1"/>
  <c r="C1211" i="1"/>
  <c r="K1211" i="1" s="1"/>
  <c r="C1210" i="1"/>
  <c r="K1210" i="1" s="1"/>
  <c r="C1209" i="1"/>
  <c r="K1209" i="1" s="1"/>
  <c r="C1208" i="1"/>
  <c r="K1208" i="1" s="1"/>
  <c r="C1207" i="1"/>
  <c r="K1207" i="1" s="1"/>
  <c r="C1206" i="1"/>
  <c r="K1206" i="1" s="1"/>
  <c r="C1205" i="1"/>
  <c r="K1205" i="1" s="1"/>
  <c r="C1204" i="1"/>
  <c r="K1204" i="1" s="1"/>
  <c r="C1203" i="1"/>
  <c r="K1203" i="1" s="1"/>
  <c r="C1202" i="1"/>
  <c r="K1202" i="1" s="1"/>
  <c r="C1201" i="1"/>
  <c r="K1201" i="1" s="1"/>
  <c r="C1200" i="1"/>
  <c r="K1200" i="1" s="1"/>
  <c r="C1199" i="1"/>
  <c r="K1199" i="1" s="1"/>
  <c r="C1198" i="1"/>
  <c r="K1198" i="1" s="1"/>
  <c r="C1197" i="1"/>
  <c r="K1197" i="1" s="1"/>
  <c r="C1196" i="1"/>
  <c r="K1196" i="1" s="1"/>
  <c r="C1195" i="1"/>
  <c r="K1195" i="1" s="1"/>
  <c r="C1194" i="1"/>
  <c r="K1194" i="1" s="1"/>
  <c r="C1193" i="1"/>
  <c r="K1193" i="1" s="1"/>
  <c r="C1192" i="1"/>
  <c r="K1192" i="1" s="1"/>
  <c r="C1191" i="1"/>
  <c r="K1191" i="1" s="1"/>
  <c r="C1190" i="1"/>
  <c r="K1190" i="1" s="1"/>
  <c r="C1189" i="1"/>
  <c r="K1189" i="1" s="1"/>
  <c r="C1188" i="1"/>
  <c r="K1188" i="1" s="1"/>
  <c r="C1187" i="1"/>
  <c r="K1187" i="1" s="1"/>
  <c r="C1186" i="1"/>
  <c r="K1186" i="1" s="1"/>
  <c r="C1185" i="1"/>
  <c r="K1185" i="1" s="1"/>
  <c r="C1184" i="1"/>
  <c r="K1184" i="1" s="1"/>
  <c r="C1183" i="1"/>
  <c r="K1183" i="1" s="1"/>
  <c r="C1182" i="1"/>
  <c r="K1182" i="1" s="1"/>
  <c r="C1181" i="1"/>
  <c r="K1181" i="1" s="1"/>
  <c r="C1180" i="1"/>
  <c r="K1180" i="1" s="1"/>
  <c r="C1179" i="1"/>
  <c r="K1179" i="1" s="1"/>
  <c r="C1178" i="1"/>
  <c r="K1178" i="1" s="1"/>
  <c r="C1177" i="1"/>
  <c r="K1177" i="1" s="1"/>
  <c r="C1176" i="1"/>
  <c r="K1176" i="1" s="1"/>
  <c r="C1175" i="1"/>
  <c r="K1175" i="1" s="1"/>
  <c r="C1174" i="1"/>
  <c r="K1174" i="1" s="1"/>
  <c r="C1173" i="1"/>
  <c r="K1173" i="1" s="1"/>
  <c r="C1172" i="1"/>
  <c r="K1172" i="1" s="1"/>
  <c r="C1171" i="1"/>
  <c r="K1171" i="1" s="1"/>
  <c r="C1170" i="1"/>
  <c r="K1170" i="1" s="1"/>
  <c r="C1169" i="1"/>
  <c r="K1169" i="1" s="1"/>
  <c r="C1168" i="1"/>
  <c r="K1168" i="1" s="1"/>
  <c r="C1167" i="1"/>
  <c r="K1167" i="1" s="1"/>
  <c r="C1166" i="1"/>
  <c r="K1166" i="1" s="1"/>
  <c r="C1165" i="1"/>
  <c r="K1165" i="1" s="1"/>
  <c r="C1164" i="1"/>
  <c r="K1164" i="1" s="1"/>
  <c r="C1163" i="1"/>
  <c r="K1163" i="1" s="1"/>
  <c r="C1162" i="1"/>
  <c r="K1162" i="1" s="1"/>
  <c r="C1161" i="1"/>
  <c r="K1161" i="1" s="1"/>
  <c r="C1160" i="1"/>
  <c r="K1160" i="1" s="1"/>
  <c r="C1159" i="1"/>
  <c r="K1159" i="1" s="1"/>
  <c r="C1158" i="1"/>
  <c r="K1158" i="1" s="1"/>
  <c r="C1157" i="1"/>
  <c r="K1157" i="1" s="1"/>
  <c r="C1156" i="1"/>
  <c r="K1156" i="1" s="1"/>
  <c r="C1155" i="1"/>
  <c r="K1155" i="1" s="1"/>
  <c r="C1154" i="1"/>
  <c r="K1154" i="1" s="1"/>
  <c r="C1153" i="1"/>
  <c r="K1153" i="1" s="1"/>
  <c r="C1152" i="1"/>
  <c r="K1152" i="1" s="1"/>
  <c r="C1151" i="1"/>
  <c r="K1151" i="1" s="1"/>
  <c r="C1150" i="1"/>
  <c r="K1150" i="1" s="1"/>
  <c r="C1149" i="1"/>
  <c r="K1149" i="1" s="1"/>
  <c r="C1148" i="1"/>
  <c r="K1148" i="1" s="1"/>
  <c r="C1147" i="1"/>
  <c r="K1147" i="1" s="1"/>
  <c r="C1146" i="1"/>
  <c r="K1146" i="1" s="1"/>
  <c r="C1145" i="1"/>
  <c r="K1145" i="1" s="1"/>
  <c r="C1144" i="1"/>
  <c r="K1144" i="1" s="1"/>
  <c r="C1143" i="1"/>
  <c r="K1143" i="1" s="1"/>
  <c r="C1142" i="1"/>
  <c r="K1142" i="1" s="1"/>
  <c r="C1141" i="1"/>
  <c r="K1141" i="1" s="1"/>
  <c r="C1140" i="1"/>
  <c r="K1140" i="1" s="1"/>
  <c r="C1139" i="1"/>
  <c r="K1139" i="1" s="1"/>
  <c r="C1138" i="1"/>
  <c r="K1138" i="1" s="1"/>
  <c r="C1137" i="1"/>
  <c r="K1137" i="1" s="1"/>
  <c r="C1136" i="1"/>
  <c r="K1136" i="1" s="1"/>
  <c r="C1135" i="1"/>
  <c r="K1135" i="1" s="1"/>
  <c r="C1134" i="1"/>
  <c r="K1134" i="1" s="1"/>
  <c r="C1133" i="1"/>
  <c r="K1133" i="1" s="1"/>
  <c r="C1132" i="1"/>
  <c r="K1132" i="1" s="1"/>
  <c r="C1131" i="1"/>
  <c r="K1131" i="1" s="1"/>
  <c r="C1130" i="1"/>
  <c r="K1130" i="1" s="1"/>
  <c r="C1129" i="1"/>
  <c r="K1129" i="1" s="1"/>
  <c r="C1128" i="1"/>
  <c r="K1128" i="1" s="1"/>
  <c r="C1127" i="1"/>
  <c r="K1127" i="1" s="1"/>
  <c r="C1126" i="1"/>
  <c r="K1126" i="1" s="1"/>
  <c r="C1125" i="1"/>
  <c r="K1125" i="1" s="1"/>
  <c r="C1124" i="1"/>
  <c r="K1124" i="1" s="1"/>
  <c r="C1123" i="1"/>
  <c r="K1123" i="1" s="1"/>
  <c r="C1122" i="1"/>
  <c r="K1122" i="1" s="1"/>
  <c r="C1121" i="1"/>
  <c r="K1121" i="1" s="1"/>
  <c r="C1120" i="1"/>
  <c r="K1120" i="1" s="1"/>
  <c r="C1119" i="1"/>
  <c r="K1119" i="1" s="1"/>
  <c r="C1118" i="1"/>
  <c r="K1118" i="1" s="1"/>
  <c r="C1117" i="1"/>
  <c r="K1117" i="1" s="1"/>
  <c r="C1116" i="1"/>
  <c r="K1116" i="1" s="1"/>
  <c r="C1115" i="1"/>
  <c r="K1115" i="1" s="1"/>
  <c r="C1114" i="1"/>
  <c r="K1114" i="1" s="1"/>
  <c r="C1113" i="1"/>
  <c r="K1113" i="1" s="1"/>
  <c r="C1112" i="1"/>
  <c r="K1112" i="1" s="1"/>
  <c r="C1111" i="1"/>
  <c r="K1111" i="1" s="1"/>
  <c r="C1110" i="1"/>
  <c r="K1110" i="1" s="1"/>
  <c r="C1109" i="1"/>
  <c r="K1109" i="1" s="1"/>
  <c r="C1108" i="1"/>
  <c r="K1108" i="1" s="1"/>
  <c r="C1107" i="1"/>
  <c r="K1107" i="1" s="1"/>
  <c r="C1106" i="1"/>
  <c r="K1106" i="1" s="1"/>
  <c r="C1105" i="1"/>
  <c r="K1105" i="1" s="1"/>
  <c r="C1104" i="1"/>
  <c r="K1104" i="1" s="1"/>
  <c r="C1103" i="1"/>
  <c r="K1103" i="1" s="1"/>
  <c r="C1102" i="1"/>
  <c r="K1102" i="1" s="1"/>
  <c r="C1101" i="1"/>
  <c r="K1101" i="1" s="1"/>
  <c r="C1100" i="1"/>
  <c r="K1100" i="1" s="1"/>
  <c r="C1099" i="1"/>
  <c r="K1099" i="1" s="1"/>
  <c r="C1098" i="1"/>
  <c r="K1098" i="1" s="1"/>
  <c r="C1097" i="1"/>
  <c r="K1097" i="1" s="1"/>
  <c r="C1096" i="1"/>
  <c r="K1096" i="1" s="1"/>
  <c r="C1095" i="1"/>
  <c r="K1095" i="1" s="1"/>
  <c r="C1094" i="1"/>
  <c r="K1094" i="1" s="1"/>
  <c r="C1093" i="1"/>
  <c r="K1093" i="1" s="1"/>
  <c r="C1092" i="1"/>
  <c r="K1092" i="1" s="1"/>
  <c r="C1091" i="1"/>
  <c r="K1091" i="1" s="1"/>
  <c r="C1090" i="1"/>
  <c r="K1090" i="1" s="1"/>
  <c r="C1089" i="1"/>
  <c r="K1089" i="1" s="1"/>
  <c r="C1088" i="1"/>
  <c r="K1088" i="1" s="1"/>
  <c r="C1087" i="1"/>
  <c r="K1087" i="1" s="1"/>
  <c r="C1086" i="1"/>
  <c r="K1086" i="1" s="1"/>
  <c r="C1085" i="1"/>
  <c r="K1085" i="1" s="1"/>
  <c r="C1084" i="1"/>
  <c r="K1084" i="1" s="1"/>
  <c r="C1083" i="1"/>
  <c r="K1083" i="1" s="1"/>
  <c r="C1082" i="1"/>
  <c r="K1082" i="1" s="1"/>
  <c r="C1081" i="1"/>
  <c r="K1081" i="1" s="1"/>
  <c r="C1080" i="1"/>
  <c r="K1080" i="1" s="1"/>
  <c r="C1079" i="1"/>
  <c r="K1079" i="1" s="1"/>
  <c r="C1078" i="1"/>
  <c r="K1078" i="1" s="1"/>
  <c r="C1077" i="1"/>
  <c r="K1077" i="1" s="1"/>
  <c r="C1076" i="1"/>
  <c r="K1076" i="1" s="1"/>
  <c r="C1075" i="1"/>
  <c r="K1075" i="1" s="1"/>
  <c r="C1074" i="1"/>
  <c r="K1074" i="1" s="1"/>
  <c r="C1073" i="1"/>
  <c r="K1073" i="1" s="1"/>
  <c r="C1072" i="1"/>
  <c r="K1072" i="1" s="1"/>
  <c r="C1071" i="1"/>
  <c r="K1071" i="1" s="1"/>
  <c r="C1070" i="1"/>
  <c r="K1070" i="1" s="1"/>
  <c r="C1069" i="1"/>
  <c r="K1069" i="1" s="1"/>
  <c r="C1068" i="1"/>
  <c r="K1068" i="1" s="1"/>
  <c r="C1067" i="1"/>
  <c r="K1067" i="1" s="1"/>
  <c r="C1066" i="1"/>
  <c r="K1066" i="1" s="1"/>
  <c r="C1065" i="1"/>
  <c r="K1065" i="1" s="1"/>
  <c r="C1064" i="1"/>
  <c r="K1064" i="1" s="1"/>
  <c r="C1063" i="1"/>
  <c r="K1063" i="1" s="1"/>
  <c r="C1062" i="1"/>
  <c r="K1062" i="1" s="1"/>
  <c r="C1061" i="1"/>
  <c r="K1061" i="1" s="1"/>
  <c r="C1060" i="1"/>
  <c r="K1060" i="1" s="1"/>
  <c r="C1059" i="1"/>
  <c r="K1059" i="1" s="1"/>
  <c r="C1058" i="1"/>
  <c r="K1058" i="1" s="1"/>
  <c r="C1057" i="1"/>
  <c r="K1057" i="1" s="1"/>
  <c r="C1056" i="1"/>
  <c r="K1056" i="1" s="1"/>
  <c r="C1055" i="1"/>
  <c r="K1055" i="1" s="1"/>
  <c r="C1054" i="1"/>
  <c r="K1054" i="1" s="1"/>
  <c r="C1053" i="1"/>
  <c r="K1053" i="1" s="1"/>
  <c r="C1052" i="1"/>
  <c r="K1052" i="1" s="1"/>
  <c r="C1051" i="1"/>
  <c r="K1051" i="1" s="1"/>
  <c r="C1050" i="1"/>
  <c r="K1050" i="1" s="1"/>
  <c r="C1049" i="1"/>
  <c r="K1049" i="1" s="1"/>
  <c r="C1048" i="1"/>
  <c r="K1048" i="1" s="1"/>
  <c r="C1047" i="1"/>
  <c r="K1047" i="1" s="1"/>
  <c r="C1046" i="1"/>
  <c r="K1046" i="1" s="1"/>
  <c r="C1045" i="1"/>
  <c r="K1045" i="1" s="1"/>
  <c r="C1044" i="1"/>
  <c r="K1044" i="1" s="1"/>
  <c r="C1043" i="1"/>
  <c r="K1043" i="1" s="1"/>
  <c r="C1042" i="1"/>
  <c r="K1042" i="1" s="1"/>
  <c r="C1041" i="1"/>
  <c r="K1041" i="1" s="1"/>
  <c r="C1040" i="1"/>
  <c r="K1040" i="1" s="1"/>
  <c r="C1039" i="1"/>
  <c r="K1039" i="1" s="1"/>
  <c r="C1038" i="1"/>
  <c r="K1038" i="1" s="1"/>
  <c r="C1037" i="1"/>
  <c r="K1037" i="1" s="1"/>
  <c r="C1036" i="1"/>
  <c r="K1036" i="1" s="1"/>
  <c r="C1035" i="1"/>
  <c r="K1035" i="1" s="1"/>
  <c r="C1034" i="1"/>
  <c r="K1034" i="1" s="1"/>
  <c r="C1033" i="1"/>
  <c r="K1033" i="1" s="1"/>
  <c r="C1032" i="1"/>
  <c r="K1032" i="1" s="1"/>
  <c r="C1031" i="1"/>
  <c r="K1031" i="1" s="1"/>
  <c r="C1030" i="1"/>
  <c r="K1030" i="1" s="1"/>
  <c r="C1029" i="1"/>
  <c r="K1029" i="1" s="1"/>
  <c r="C1028" i="1"/>
  <c r="K1028" i="1" s="1"/>
  <c r="C1027" i="1"/>
  <c r="K1027" i="1" s="1"/>
  <c r="C1026" i="1"/>
  <c r="K1026" i="1" s="1"/>
  <c r="C1025" i="1"/>
  <c r="K1025" i="1" s="1"/>
  <c r="C1024" i="1"/>
  <c r="K1024" i="1" s="1"/>
  <c r="C1023" i="1"/>
  <c r="K1023" i="1" s="1"/>
  <c r="C1022" i="1"/>
  <c r="K1022" i="1" s="1"/>
  <c r="C1021" i="1"/>
  <c r="K1021" i="1" s="1"/>
  <c r="C1020" i="1"/>
  <c r="K1020" i="1" s="1"/>
  <c r="C1019" i="1"/>
  <c r="K1019" i="1" s="1"/>
  <c r="C1018" i="1"/>
  <c r="K1018" i="1" s="1"/>
  <c r="C1017" i="1"/>
  <c r="K1017" i="1" s="1"/>
  <c r="C1016" i="1"/>
  <c r="K1016" i="1" s="1"/>
  <c r="C1015" i="1"/>
  <c r="K1015" i="1" s="1"/>
  <c r="C1014" i="1"/>
  <c r="K1014" i="1" s="1"/>
  <c r="C1013" i="1"/>
  <c r="K1013" i="1" s="1"/>
  <c r="C1012" i="1"/>
  <c r="K1012" i="1" s="1"/>
  <c r="C1011" i="1"/>
  <c r="K1011" i="1" s="1"/>
  <c r="C1010" i="1"/>
  <c r="K1010" i="1" s="1"/>
  <c r="C1009" i="1"/>
  <c r="K1009" i="1" s="1"/>
  <c r="C1008" i="1"/>
  <c r="K1008" i="1" s="1"/>
  <c r="C1007" i="1"/>
  <c r="K1007" i="1" s="1"/>
  <c r="C1006" i="1"/>
  <c r="K1006" i="1" s="1"/>
  <c r="C1005" i="1"/>
  <c r="K1005" i="1" s="1"/>
  <c r="C1004" i="1"/>
  <c r="K1004" i="1" s="1"/>
  <c r="C1003" i="1"/>
  <c r="K1003" i="1" s="1"/>
  <c r="C1002" i="1"/>
  <c r="K1002" i="1" s="1"/>
  <c r="C1001" i="1"/>
  <c r="K1001" i="1" s="1"/>
  <c r="C1000" i="1"/>
  <c r="K1000" i="1" s="1"/>
  <c r="C999" i="1"/>
  <c r="K999" i="1" s="1"/>
  <c r="C998" i="1"/>
  <c r="K998" i="1" s="1"/>
  <c r="C997" i="1"/>
  <c r="K997" i="1" s="1"/>
  <c r="C996" i="1"/>
  <c r="K996" i="1" s="1"/>
  <c r="C995" i="1"/>
  <c r="K995" i="1" s="1"/>
  <c r="C994" i="1"/>
  <c r="K994" i="1" s="1"/>
  <c r="C993" i="1"/>
  <c r="K993" i="1" s="1"/>
  <c r="C992" i="1"/>
  <c r="K992" i="1" s="1"/>
  <c r="C991" i="1"/>
  <c r="K991" i="1" s="1"/>
  <c r="C990" i="1"/>
  <c r="K990" i="1" s="1"/>
  <c r="C989" i="1"/>
  <c r="K989" i="1" s="1"/>
  <c r="C988" i="1"/>
  <c r="K988" i="1" s="1"/>
  <c r="C987" i="1"/>
  <c r="K987" i="1" s="1"/>
  <c r="C986" i="1"/>
  <c r="K986" i="1" s="1"/>
  <c r="C985" i="1"/>
  <c r="K985" i="1" s="1"/>
  <c r="C984" i="1"/>
  <c r="K984" i="1" s="1"/>
  <c r="C983" i="1"/>
  <c r="K983" i="1" s="1"/>
  <c r="C982" i="1"/>
  <c r="K982" i="1" s="1"/>
  <c r="C981" i="1"/>
  <c r="K981" i="1" s="1"/>
  <c r="C980" i="1"/>
  <c r="K980" i="1" s="1"/>
  <c r="C979" i="1"/>
  <c r="K979" i="1" s="1"/>
  <c r="C978" i="1"/>
  <c r="K978" i="1" s="1"/>
  <c r="C977" i="1"/>
  <c r="K977" i="1" s="1"/>
  <c r="C976" i="1"/>
  <c r="K976" i="1" s="1"/>
  <c r="C975" i="1"/>
  <c r="K975" i="1" s="1"/>
  <c r="C974" i="1"/>
  <c r="K974" i="1" s="1"/>
  <c r="C973" i="1"/>
  <c r="K973" i="1" s="1"/>
  <c r="C972" i="1"/>
  <c r="K972" i="1" s="1"/>
  <c r="C971" i="1"/>
  <c r="K971" i="1" s="1"/>
  <c r="C970" i="1"/>
  <c r="K970" i="1" s="1"/>
  <c r="C969" i="1"/>
  <c r="K969" i="1" s="1"/>
  <c r="C968" i="1"/>
  <c r="K968" i="1" s="1"/>
  <c r="C967" i="1"/>
  <c r="K967" i="1" s="1"/>
  <c r="C966" i="1"/>
  <c r="K966" i="1" s="1"/>
  <c r="C965" i="1"/>
  <c r="K965" i="1" s="1"/>
  <c r="C964" i="1"/>
  <c r="K964" i="1" s="1"/>
  <c r="C963" i="1"/>
  <c r="K963" i="1" s="1"/>
  <c r="C962" i="1"/>
  <c r="K962" i="1" s="1"/>
  <c r="C961" i="1"/>
  <c r="K961" i="1" s="1"/>
  <c r="C960" i="1"/>
  <c r="K960" i="1" s="1"/>
  <c r="C959" i="1"/>
  <c r="K959" i="1" s="1"/>
  <c r="C958" i="1"/>
  <c r="K958" i="1" s="1"/>
  <c r="C957" i="1"/>
  <c r="K957" i="1" s="1"/>
  <c r="C956" i="1"/>
  <c r="K956" i="1" s="1"/>
  <c r="C955" i="1"/>
  <c r="K955" i="1" s="1"/>
  <c r="C954" i="1"/>
  <c r="K954" i="1" s="1"/>
  <c r="C953" i="1"/>
  <c r="K953" i="1" s="1"/>
  <c r="C952" i="1"/>
  <c r="K952" i="1" s="1"/>
  <c r="C951" i="1"/>
  <c r="K951" i="1" s="1"/>
  <c r="C950" i="1"/>
  <c r="K950" i="1" s="1"/>
  <c r="C949" i="1"/>
  <c r="K949" i="1" s="1"/>
  <c r="C948" i="1"/>
  <c r="K948" i="1" s="1"/>
  <c r="C947" i="1"/>
  <c r="K947" i="1" s="1"/>
  <c r="C946" i="1"/>
  <c r="K946" i="1" s="1"/>
  <c r="C945" i="1"/>
  <c r="K945" i="1" s="1"/>
  <c r="C944" i="1"/>
  <c r="K944" i="1" s="1"/>
  <c r="C943" i="1"/>
  <c r="K943" i="1" s="1"/>
  <c r="C942" i="1"/>
  <c r="K942" i="1" s="1"/>
  <c r="C941" i="1"/>
  <c r="K941" i="1" s="1"/>
  <c r="C940" i="1"/>
  <c r="K940" i="1" s="1"/>
  <c r="C939" i="1"/>
  <c r="K939" i="1" s="1"/>
  <c r="C938" i="1"/>
  <c r="K938" i="1" s="1"/>
  <c r="C937" i="1"/>
  <c r="K937" i="1" s="1"/>
  <c r="C936" i="1"/>
  <c r="K936" i="1" s="1"/>
  <c r="C935" i="1"/>
  <c r="K935" i="1" s="1"/>
  <c r="C934" i="1"/>
  <c r="K934" i="1" s="1"/>
  <c r="C933" i="1"/>
  <c r="K933" i="1" s="1"/>
  <c r="C932" i="1"/>
  <c r="K932" i="1" s="1"/>
  <c r="C931" i="1"/>
  <c r="K931" i="1" s="1"/>
  <c r="C930" i="1"/>
  <c r="K930" i="1" s="1"/>
  <c r="C929" i="1"/>
  <c r="K929" i="1" s="1"/>
  <c r="C928" i="1"/>
  <c r="K928" i="1" s="1"/>
  <c r="C927" i="1"/>
  <c r="K927" i="1" s="1"/>
  <c r="C926" i="1"/>
  <c r="K926" i="1" s="1"/>
  <c r="C925" i="1"/>
  <c r="K925" i="1" s="1"/>
  <c r="C924" i="1"/>
  <c r="K924" i="1" s="1"/>
  <c r="C923" i="1"/>
  <c r="K923" i="1" s="1"/>
  <c r="C922" i="1"/>
  <c r="K922" i="1" s="1"/>
  <c r="C921" i="1"/>
  <c r="K921" i="1" s="1"/>
  <c r="C920" i="1"/>
  <c r="K920" i="1" s="1"/>
  <c r="C919" i="1"/>
  <c r="K919" i="1" s="1"/>
  <c r="C918" i="1"/>
  <c r="K918" i="1" s="1"/>
  <c r="C917" i="1"/>
  <c r="K917" i="1" s="1"/>
  <c r="C916" i="1"/>
  <c r="K916" i="1" s="1"/>
  <c r="C915" i="1"/>
  <c r="K915" i="1" s="1"/>
  <c r="C914" i="1"/>
  <c r="K914" i="1" s="1"/>
  <c r="C913" i="1"/>
  <c r="K913" i="1" s="1"/>
  <c r="C912" i="1"/>
  <c r="K912" i="1" s="1"/>
  <c r="C911" i="1"/>
  <c r="K911" i="1" s="1"/>
  <c r="C910" i="1"/>
  <c r="K910" i="1" s="1"/>
  <c r="C909" i="1"/>
  <c r="K909" i="1" s="1"/>
  <c r="C908" i="1"/>
  <c r="K908" i="1" s="1"/>
  <c r="C907" i="1"/>
  <c r="K907" i="1" s="1"/>
  <c r="C906" i="1"/>
  <c r="K906" i="1" s="1"/>
  <c r="C905" i="1"/>
  <c r="K905" i="1" s="1"/>
  <c r="C904" i="1"/>
  <c r="K904" i="1" s="1"/>
  <c r="C903" i="1"/>
  <c r="K903" i="1" s="1"/>
  <c r="C902" i="1"/>
  <c r="K902" i="1" s="1"/>
  <c r="C901" i="1"/>
  <c r="K901" i="1" s="1"/>
  <c r="C900" i="1"/>
  <c r="K900" i="1" s="1"/>
  <c r="C899" i="1"/>
  <c r="K899" i="1" s="1"/>
  <c r="C898" i="1"/>
  <c r="K898" i="1" s="1"/>
  <c r="C897" i="1"/>
  <c r="K897" i="1" s="1"/>
  <c r="C896" i="1"/>
  <c r="K896" i="1" s="1"/>
  <c r="C895" i="1"/>
  <c r="K895" i="1" s="1"/>
  <c r="C894" i="1"/>
  <c r="K894" i="1" s="1"/>
  <c r="C893" i="1"/>
  <c r="K893" i="1" s="1"/>
  <c r="C892" i="1"/>
  <c r="K892" i="1" s="1"/>
  <c r="C891" i="1"/>
  <c r="K891" i="1" s="1"/>
  <c r="C890" i="1"/>
  <c r="K890" i="1" s="1"/>
  <c r="C889" i="1"/>
  <c r="K889" i="1" s="1"/>
  <c r="C888" i="1"/>
  <c r="K888" i="1" s="1"/>
  <c r="C887" i="1"/>
  <c r="K887" i="1" s="1"/>
  <c r="C886" i="1"/>
  <c r="K886" i="1" s="1"/>
  <c r="C885" i="1"/>
  <c r="K885" i="1" s="1"/>
  <c r="C884" i="1"/>
  <c r="K884" i="1" s="1"/>
  <c r="C883" i="1"/>
  <c r="K883" i="1" s="1"/>
  <c r="C882" i="1"/>
  <c r="K882" i="1" s="1"/>
  <c r="C881" i="1"/>
  <c r="K881" i="1" s="1"/>
  <c r="C880" i="1"/>
  <c r="K880" i="1" s="1"/>
  <c r="C879" i="1"/>
  <c r="K879" i="1" s="1"/>
  <c r="C878" i="1"/>
  <c r="K878" i="1" s="1"/>
  <c r="C877" i="1"/>
  <c r="K877" i="1" s="1"/>
  <c r="C876" i="1"/>
  <c r="K876" i="1" s="1"/>
  <c r="C875" i="1"/>
  <c r="K875" i="1" s="1"/>
  <c r="C874" i="1"/>
  <c r="K874" i="1" s="1"/>
  <c r="C873" i="1"/>
  <c r="K873" i="1" s="1"/>
  <c r="C872" i="1"/>
  <c r="K872" i="1" s="1"/>
  <c r="C871" i="1"/>
  <c r="K871" i="1" s="1"/>
  <c r="C870" i="1"/>
  <c r="K870" i="1" s="1"/>
  <c r="C869" i="1"/>
  <c r="K869" i="1" s="1"/>
  <c r="C868" i="1"/>
  <c r="K868" i="1" s="1"/>
  <c r="C867" i="1"/>
  <c r="K867" i="1" s="1"/>
  <c r="C866" i="1"/>
  <c r="K866" i="1" s="1"/>
  <c r="C865" i="1"/>
  <c r="K865" i="1" s="1"/>
  <c r="C864" i="1"/>
  <c r="K864" i="1" s="1"/>
  <c r="C863" i="1"/>
  <c r="K863" i="1" s="1"/>
  <c r="C862" i="1"/>
  <c r="K862" i="1" s="1"/>
  <c r="C861" i="1"/>
  <c r="K861" i="1" s="1"/>
  <c r="C860" i="1"/>
  <c r="K860" i="1" s="1"/>
  <c r="C859" i="1"/>
  <c r="K859" i="1" s="1"/>
  <c r="C858" i="1"/>
  <c r="K858" i="1" s="1"/>
  <c r="C857" i="1"/>
  <c r="K857" i="1" s="1"/>
  <c r="C856" i="1"/>
  <c r="K856" i="1" s="1"/>
  <c r="C855" i="1"/>
  <c r="K855" i="1" s="1"/>
  <c r="C854" i="1"/>
  <c r="K854" i="1" s="1"/>
  <c r="C853" i="1"/>
  <c r="K853" i="1" s="1"/>
  <c r="C852" i="1"/>
  <c r="K852" i="1" s="1"/>
  <c r="C851" i="1"/>
  <c r="K851" i="1" s="1"/>
  <c r="C850" i="1"/>
  <c r="K850" i="1" s="1"/>
  <c r="C849" i="1"/>
  <c r="K849" i="1" s="1"/>
  <c r="C848" i="1"/>
  <c r="K848" i="1" s="1"/>
  <c r="C847" i="1"/>
  <c r="K847" i="1" s="1"/>
  <c r="C846" i="1"/>
  <c r="K846" i="1" s="1"/>
  <c r="C845" i="1"/>
  <c r="K845" i="1" s="1"/>
  <c r="C844" i="1"/>
  <c r="K844" i="1" s="1"/>
  <c r="C843" i="1"/>
  <c r="K843" i="1" s="1"/>
  <c r="C842" i="1"/>
  <c r="K842" i="1" s="1"/>
  <c r="C841" i="1"/>
  <c r="K841" i="1" s="1"/>
  <c r="C840" i="1"/>
  <c r="K840" i="1" s="1"/>
  <c r="C839" i="1"/>
  <c r="K839" i="1" s="1"/>
  <c r="C838" i="1"/>
  <c r="K838" i="1" s="1"/>
  <c r="C837" i="1"/>
  <c r="K837" i="1" s="1"/>
  <c r="C836" i="1"/>
  <c r="K836" i="1" s="1"/>
  <c r="C835" i="1"/>
  <c r="K835" i="1" s="1"/>
  <c r="C834" i="1"/>
  <c r="K834" i="1" s="1"/>
  <c r="C833" i="1"/>
  <c r="K833" i="1" s="1"/>
  <c r="C832" i="1"/>
  <c r="K832" i="1" s="1"/>
  <c r="C831" i="1"/>
  <c r="K831" i="1" s="1"/>
  <c r="C830" i="1"/>
  <c r="K830" i="1" s="1"/>
  <c r="C829" i="1"/>
  <c r="K829" i="1" s="1"/>
  <c r="C828" i="1"/>
  <c r="K828" i="1" s="1"/>
  <c r="C827" i="1"/>
  <c r="K827" i="1" s="1"/>
  <c r="C826" i="1"/>
  <c r="K826" i="1" s="1"/>
  <c r="C825" i="1"/>
  <c r="K825" i="1" s="1"/>
  <c r="C824" i="1"/>
  <c r="K824" i="1" s="1"/>
  <c r="C823" i="1"/>
  <c r="K823" i="1" s="1"/>
  <c r="C822" i="1"/>
  <c r="K822" i="1" s="1"/>
  <c r="C821" i="1"/>
  <c r="K821" i="1" s="1"/>
  <c r="C820" i="1"/>
  <c r="K820" i="1" s="1"/>
  <c r="C819" i="1"/>
  <c r="K819" i="1" s="1"/>
  <c r="C818" i="1"/>
  <c r="K818" i="1" s="1"/>
  <c r="C817" i="1"/>
  <c r="K817" i="1" s="1"/>
  <c r="C816" i="1"/>
  <c r="K816" i="1" s="1"/>
  <c r="C815" i="1"/>
  <c r="K815" i="1" s="1"/>
  <c r="C814" i="1"/>
  <c r="K814" i="1" s="1"/>
  <c r="C813" i="1"/>
  <c r="K813" i="1" s="1"/>
  <c r="C812" i="1"/>
  <c r="K812" i="1" s="1"/>
  <c r="C811" i="1"/>
  <c r="K811" i="1" s="1"/>
  <c r="C810" i="1"/>
  <c r="K810" i="1" s="1"/>
  <c r="C809" i="1"/>
  <c r="K809" i="1" s="1"/>
  <c r="C808" i="1"/>
  <c r="K808" i="1" s="1"/>
  <c r="C807" i="1"/>
  <c r="K807" i="1" s="1"/>
  <c r="C806" i="1"/>
  <c r="K806" i="1" s="1"/>
  <c r="C805" i="1"/>
  <c r="K805" i="1" s="1"/>
  <c r="C804" i="1"/>
  <c r="K804" i="1" s="1"/>
  <c r="C803" i="1"/>
  <c r="K803" i="1" s="1"/>
  <c r="C802" i="1"/>
  <c r="K802" i="1" s="1"/>
  <c r="C801" i="1"/>
  <c r="K801" i="1" s="1"/>
  <c r="C800" i="1"/>
  <c r="K800" i="1" s="1"/>
  <c r="C799" i="1"/>
  <c r="K799" i="1" s="1"/>
  <c r="C798" i="1"/>
  <c r="K798" i="1" s="1"/>
  <c r="C797" i="1"/>
  <c r="K797" i="1" s="1"/>
  <c r="C796" i="1"/>
  <c r="K796" i="1" s="1"/>
  <c r="C795" i="1"/>
  <c r="K795" i="1" s="1"/>
  <c r="C794" i="1"/>
  <c r="K794" i="1" s="1"/>
  <c r="C793" i="1"/>
  <c r="K793" i="1" s="1"/>
  <c r="C792" i="1"/>
  <c r="K792" i="1" s="1"/>
  <c r="C791" i="1"/>
  <c r="K791" i="1" s="1"/>
  <c r="C790" i="1"/>
  <c r="K790" i="1" s="1"/>
  <c r="C789" i="1"/>
  <c r="K789" i="1" s="1"/>
  <c r="C788" i="1"/>
  <c r="K788" i="1" s="1"/>
  <c r="C787" i="1"/>
  <c r="K787" i="1" s="1"/>
  <c r="C786" i="1"/>
  <c r="K786" i="1" s="1"/>
  <c r="C785" i="1"/>
  <c r="K785" i="1" s="1"/>
  <c r="C784" i="1"/>
  <c r="K784" i="1" s="1"/>
  <c r="C783" i="1"/>
  <c r="K783" i="1" s="1"/>
  <c r="C782" i="1"/>
  <c r="K782" i="1" s="1"/>
  <c r="C781" i="1"/>
  <c r="K781" i="1" s="1"/>
  <c r="C780" i="1"/>
  <c r="K780" i="1" s="1"/>
  <c r="C779" i="1"/>
  <c r="K779" i="1" s="1"/>
  <c r="C778" i="1"/>
  <c r="K778" i="1" s="1"/>
  <c r="C777" i="1"/>
  <c r="K777" i="1" s="1"/>
  <c r="C776" i="1"/>
  <c r="K776" i="1" s="1"/>
  <c r="C775" i="1"/>
  <c r="K775" i="1" s="1"/>
  <c r="C774" i="1"/>
  <c r="K774" i="1" s="1"/>
  <c r="C773" i="1"/>
  <c r="K773" i="1" s="1"/>
  <c r="C772" i="1"/>
  <c r="K772" i="1" s="1"/>
  <c r="C771" i="1"/>
  <c r="K771" i="1" s="1"/>
  <c r="C770" i="1"/>
  <c r="K770" i="1" s="1"/>
  <c r="C769" i="1"/>
  <c r="K769" i="1" s="1"/>
  <c r="C768" i="1"/>
  <c r="K768" i="1" s="1"/>
  <c r="C767" i="1"/>
  <c r="K767" i="1" s="1"/>
  <c r="C766" i="1"/>
  <c r="K766" i="1" s="1"/>
  <c r="C765" i="1"/>
  <c r="K765" i="1" s="1"/>
  <c r="C764" i="1"/>
  <c r="K764" i="1" s="1"/>
  <c r="C763" i="1"/>
  <c r="K763" i="1" s="1"/>
  <c r="C762" i="1"/>
  <c r="K762" i="1" s="1"/>
  <c r="C761" i="1"/>
  <c r="K761" i="1" s="1"/>
  <c r="C760" i="1"/>
  <c r="K760" i="1" s="1"/>
  <c r="C759" i="1"/>
  <c r="K759" i="1" s="1"/>
  <c r="C758" i="1"/>
  <c r="K758" i="1" s="1"/>
  <c r="C757" i="1"/>
  <c r="K757" i="1" s="1"/>
  <c r="C756" i="1"/>
  <c r="K756" i="1" s="1"/>
  <c r="C755" i="1"/>
  <c r="K755" i="1" s="1"/>
  <c r="C754" i="1"/>
  <c r="K754" i="1" s="1"/>
  <c r="C753" i="1"/>
  <c r="K753" i="1" s="1"/>
  <c r="C752" i="1"/>
  <c r="K752" i="1" s="1"/>
  <c r="C751" i="1"/>
  <c r="K751" i="1" s="1"/>
  <c r="C750" i="1"/>
  <c r="K750" i="1" s="1"/>
  <c r="C749" i="1"/>
  <c r="K749" i="1" s="1"/>
  <c r="C748" i="1"/>
  <c r="K748" i="1" s="1"/>
  <c r="C747" i="1"/>
  <c r="K747" i="1" s="1"/>
  <c r="C746" i="1"/>
  <c r="K746" i="1" s="1"/>
  <c r="C745" i="1"/>
  <c r="K745" i="1" s="1"/>
  <c r="C744" i="1"/>
  <c r="K744" i="1" s="1"/>
  <c r="C743" i="1"/>
  <c r="K743" i="1" s="1"/>
  <c r="C742" i="1"/>
  <c r="K742" i="1" s="1"/>
  <c r="C741" i="1"/>
  <c r="K741" i="1" s="1"/>
  <c r="C740" i="1"/>
  <c r="K740" i="1" s="1"/>
  <c r="C739" i="1"/>
  <c r="K739" i="1" s="1"/>
  <c r="C738" i="1"/>
  <c r="K738" i="1" s="1"/>
  <c r="C737" i="1"/>
  <c r="K737" i="1" s="1"/>
  <c r="C736" i="1"/>
  <c r="K736" i="1" s="1"/>
  <c r="C735" i="1"/>
  <c r="K735" i="1" s="1"/>
  <c r="C734" i="1"/>
  <c r="K734" i="1" s="1"/>
  <c r="C733" i="1"/>
  <c r="K733" i="1" s="1"/>
  <c r="C732" i="1"/>
  <c r="K732" i="1" s="1"/>
  <c r="C731" i="1"/>
  <c r="K731" i="1" s="1"/>
  <c r="C730" i="1"/>
  <c r="K730" i="1" s="1"/>
  <c r="C729" i="1"/>
  <c r="K729" i="1" s="1"/>
  <c r="C728" i="1"/>
  <c r="K728" i="1" s="1"/>
  <c r="C727" i="1"/>
  <c r="K727" i="1" s="1"/>
  <c r="C726" i="1"/>
  <c r="K726" i="1" s="1"/>
  <c r="C725" i="1"/>
  <c r="K725" i="1" s="1"/>
  <c r="C724" i="1"/>
  <c r="K724" i="1" s="1"/>
  <c r="C723" i="1"/>
  <c r="K723" i="1" s="1"/>
  <c r="C722" i="1"/>
  <c r="K722" i="1" s="1"/>
  <c r="C721" i="1"/>
  <c r="K721" i="1" s="1"/>
  <c r="C720" i="1"/>
  <c r="K720" i="1" s="1"/>
  <c r="C719" i="1"/>
  <c r="K719" i="1" s="1"/>
  <c r="C718" i="1"/>
  <c r="K718" i="1" s="1"/>
  <c r="C717" i="1"/>
  <c r="K717" i="1" s="1"/>
  <c r="C716" i="1"/>
  <c r="K716" i="1" s="1"/>
  <c r="C715" i="1"/>
  <c r="K715" i="1" s="1"/>
  <c r="C714" i="1"/>
  <c r="K714" i="1" s="1"/>
  <c r="C713" i="1"/>
  <c r="K713" i="1" s="1"/>
  <c r="C712" i="1"/>
  <c r="K712" i="1" s="1"/>
  <c r="C711" i="1"/>
  <c r="K711" i="1" s="1"/>
  <c r="C710" i="1"/>
  <c r="K710" i="1" s="1"/>
  <c r="C709" i="1"/>
  <c r="K709" i="1" s="1"/>
  <c r="C708" i="1"/>
  <c r="K708" i="1" s="1"/>
  <c r="C707" i="1"/>
  <c r="K707" i="1" s="1"/>
  <c r="C706" i="1"/>
  <c r="K706" i="1" s="1"/>
  <c r="C705" i="1"/>
  <c r="K705" i="1" s="1"/>
  <c r="C704" i="1"/>
  <c r="K704" i="1" s="1"/>
  <c r="C703" i="1"/>
  <c r="K703" i="1" s="1"/>
  <c r="C702" i="1"/>
  <c r="K702" i="1" s="1"/>
  <c r="C701" i="1"/>
  <c r="K701" i="1" s="1"/>
  <c r="C700" i="1"/>
  <c r="K700" i="1" s="1"/>
  <c r="C699" i="1"/>
  <c r="K699" i="1" s="1"/>
  <c r="C698" i="1"/>
  <c r="K698" i="1" s="1"/>
  <c r="C697" i="1"/>
  <c r="K697" i="1" s="1"/>
  <c r="C696" i="1"/>
  <c r="K696" i="1" s="1"/>
  <c r="C695" i="1"/>
  <c r="K695" i="1" s="1"/>
  <c r="C694" i="1"/>
  <c r="K694" i="1" s="1"/>
  <c r="C693" i="1"/>
  <c r="K693" i="1" s="1"/>
  <c r="C692" i="1"/>
  <c r="K692" i="1" s="1"/>
  <c r="C691" i="1"/>
  <c r="K691" i="1" s="1"/>
  <c r="C690" i="1"/>
  <c r="K690" i="1" s="1"/>
  <c r="C689" i="1"/>
  <c r="K689" i="1" s="1"/>
  <c r="C688" i="1"/>
  <c r="K688" i="1" s="1"/>
  <c r="C687" i="1"/>
  <c r="K687" i="1" s="1"/>
  <c r="C686" i="1"/>
  <c r="K686" i="1" s="1"/>
  <c r="C685" i="1"/>
  <c r="K685" i="1" s="1"/>
  <c r="C684" i="1"/>
  <c r="K684" i="1" s="1"/>
  <c r="C683" i="1"/>
  <c r="K683" i="1" s="1"/>
  <c r="C682" i="1"/>
  <c r="K682" i="1" s="1"/>
  <c r="C681" i="1"/>
  <c r="K681" i="1" s="1"/>
  <c r="C680" i="1"/>
  <c r="K680" i="1" s="1"/>
  <c r="C679" i="1"/>
  <c r="K679" i="1" s="1"/>
  <c r="C678" i="1"/>
  <c r="K678" i="1" s="1"/>
  <c r="C677" i="1"/>
  <c r="K677" i="1" s="1"/>
  <c r="C676" i="1"/>
  <c r="K676" i="1" s="1"/>
  <c r="C675" i="1"/>
  <c r="K675" i="1" s="1"/>
  <c r="C674" i="1"/>
  <c r="K674" i="1" s="1"/>
  <c r="C673" i="1"/>
  <c r="K673" i="1" s="1"/>
  <c r="C672" i="1"/>
  <c r="K672" i="1" s="1"/>
  <c r="C671" i="1"/>
  <c r="K671" i="1" s="1"/>
  <c r="C670" i="1"/>
  <c r="K670" i="1" s="1"/>
  <c r="C669" i="1"/>
  <c r="K669" i="1" s="1"/>
  <c r="C668" i="1"/>
  <c r="K668" i="1" s="1"/>
  <c r="C667" i="1"/>
  <c r="K667" i="1" s="1"/>
  <c r="C666" i="1"/>
  <c r="K666" i="1" s="1"/>
  <c r="C665" i="1"/>
  <c r="K665" i="1" s="1"/>
  <c r="C664" i="1"/>
  <c r="K664" i="1" s="1"/>
  <c r="C663" i="1"/>
  <c r="K663" i="1" s="1"/>
  <c r="C662" i="1"/>
  <c r="K662" i="1" s="1"/>
  <c r="C661" i="1"/>
  <c r="K661" i="1" s="1"/>
  <c r="C660" i="1"/>
  <c r="K660" i="1" s="1"/>
  <c r="C659" i="1"/>
  <c r="K659" i="1" s="1"/>
  <c r="C658" i="1"/>
  <c r="K658" i="1" s="1"/>
  <c r="C657" i="1"/>
  <c r="K657" i="1" s="1"/>
  <c r="C656" i="1"/>
  <c r="K656" i="1" s="1"/>
  <c r="C655" i="1"/>
  <c r="K655" i="1" s="1"/>
  <c r="C654" i="1"/>
  <c r="K654" i="1" s="1"/>
  <c r="C653" i="1"/>
  <c r="K653" i="1" s="1"/>
  <c r="C652" i="1"/>
  <c r="K652" i="1" s="1"/>
  <c r="C651" i="1"/>
  <c r="K651" i="1" s="1"/>
  <c r="C650" i="1"/>
  <c r="K650" i="1" s="1"/>
  <c r="C649" i="1"/>
  <c r="K649" i="1" s="1"/>
  <c r="C648" i="1"/>
  <c r="K648" i="1" s="1"/>
  <c r="C647" i="1"/>
  <c r="K647" i="1" s="1"/>
  <c r="C646" i="1"/>
  <c r="K646" i="1" s="1"/>
  <c r="C645" i="1"/>
  <c r="K645" i="1" s="1"/>
  <c r="C644" i="1"/>
  <c r="K644" i="1" s="1"/>
  <c r="C643" i="1"/>
  <c r="K643" i="1" s="1"/>
  <c r="C642" i="1"/>
  <c r="K642" i="1" s="1"/>
  <c r="C641" i="1"/>
  <c r="K641" i="1" s="1"/>
  <c r="C640" i="1"/>
  <c r="K640" i="1" s="1"/>
  <c r="C639" i="1"/>
  <c r="K639" i="1" s="1"/>
  <c r="C638" i="1"/>
  <c r="K638" i="1" s="1"/>
  <c r="C637" i="1"/>
  <c r="K637" i="1" s="1"/>
  <c r="C636" i="1"/>
  <c r="K636" i="1" s="1"/>
  <c r="C635" i="1"/>
  <c r="K635" i="1" s="1"/>
  <c r="C634" i="1"/>
  <c r="K634" i="1" s="1"/>
  <c r="C633" i="1"/>
  <c r="K633" i="1" s="1"/>
  <c r="C632" i="1"/>
  <c r="K632" i="1" s="1"/>
  <c r="C631" i="1"/>
  <c r="K631" i="1" s="1"/>
  <c r="C630" i="1"/>
  <c r="K630" i="1" s="1"/>
  <c r="C629" i="1"/>
  <c r="K629" i="1" s="1"/>
  <c r="C628" i="1"/>
  <c r="K628" i="1" s="1"/>
  <c r="C627" i="1"/>
  <c r="K627" i="1" s="1"/>
  <c r="C626" i="1"/>
  <c r="K626" i="1" s="1"/>
  <c r="C625" i="1"/>
  <c r="K625" i="1" s="1"/>
  <c r="C624" i="1"/>
  <c r="K624" i="1" s="1"/>
  <c r="C623" i="1"/>
  <c r="K623" i="1" s="1"/>
  <c r="C622" i="1"/>
  <c r="K622" i="1" s="1"/>
  <c r="C621" i="1"/>
  <c r="K621" i="1" s="1"/>
  <c r="C620" i="1"/>
  <c r="K620" i="1" s="1"/>
  <c r="C619" i="1"/>
  <c r="K619" i="1" s="1"/>
  <c r="C618" i="1"/>
  <c r="K618" i="1" s="1"/>
  <c r="C617" i="1"/>
  <c r="K617" i="1" s="1"/>
  <c r="C616" i="1"/>
  <c r="K616" i="1" s="1"/>
  <c r="C615" i="1"/>
  <c r="K615" i="1" s="1"/>
  <c r="C614" i="1"/>
  <c r="K614" i="1" s="1"/>
  <c r="C613" i="1"/>
  <c r="K613" i="1" s="1"/>
  <c r="C612" i="1"/>
  <c r="K612" i="1" s="1"/>
  <c r="C611" i="1"/>
  <c r="K611" i="1" s="1"/>
  <c r="C610" i="1"/>
  <c r="K610" i="1" s="1"/>
  <c r="C609" i="1"/>
  <c r="K609" i="1" s="1"/>
  <c r="C608" i="1"/>
  <c r="K608" i="1" s="1"/>
  <c r="C607" i="1"/>
  <c r="K607" i="1" s="1"/>
  <c r="C606" i="1"/>
  <c r="K606" i="1" s="1"/>
  <c r="C605" i="1"/>
  <c r="K605" i="1" s="1"/>
  <c r="C604" i="1"/>
  <c r="K604" i="1" s="1"/>
  <c r="C603" i="1"/>
  <c r="K603" i="1" s="1"/>
  <c r="C602" i="1"/>
  <c r="K602" i="1" s="1"/>
  <c r="C601" i="1"/>
  <c r="K601" i="1" s="1"/>
  <c r="C600" i="1"/>
  <c r="K600" i="1" s="1"/>
  <c r="C599" i="1"/>
  <c r="K599" i="1" s="1"/>
  <c r="C598" i="1"/>
  <c r="K598" i="1" s="1"/>
  <c r="C597" i="1"/>
  <c r="K597" i="1" s="1"/>
  <c r="C596" i="1"/>
  <c r="K596" i="1" s="1"/>
  <c r="C595" i="1"/>
  <c r="K595" i="1" s="1"/>
  <c r="C594" i="1"/>
  <c r="K594" i="1" s="1"/>
  <c r="C593" i="1"/>
  <c r="K593" i="1" s="1"/>
  <c r="C592" i="1"/>
  <c r="K592" i="1" s="1"/>
  <c r="C591" i="1"/>
  <c r="K591" i="1" s="1"/>
  <c r="C590" i="1"/>
  <c r="K590" i="1" s="1"/>
  <c r="C589" i="1"/>
  <c r="K589" i="1" s="1"/>
  <c r="C588" i="1"/>
  <c r="K588" i="1" s="1"/>
  <c r="C587" i="1"/>
  <c r="K587" i="1" s="1"/>
  <c r="C586" i="1"/>
  <c r="K586" i="1" s="1"/>
  <c r="C585" i="1"/>
  <c r="K585" i="1" s="1"/>
  <c r="C584" i="1"/>
  <c r="K584" i="1" s="1"/>
  <c r="C583" i="1"/>
  <c r="K583" i="1" s="1"/>
  <c r="C582" i="1"/>
  <c r="K582" i="1" s="1"/>
  <c r="C581" i="1"/>
  <c r="K581" i="1" s="1"/>
  <c r="C580" i="1"/>
  <c r="K580" i="1" s="1"/>
  <c r="C579" i="1"/>
  <c r="K579" i="1" s="1"/>
  <c r="C578" i="1"/>
  <c r="K578" i="1" s="1"/>
  <c r="C577" i="1"/>
  <c r="K577" i="1" s="1"/>
  <c r="C576" i="1"/>
  <c r="K576" i="1" s="1"/>
  <c r="C575" i="1"/>
  <c r="K575" i="1" s="1"/>
  <c r="C574" i="1"/>
  <c r="K574" i="1" s="1"/>
  <c r="C573" i="1"/>
  <c r="K573" i="1" s="1"/>
  <c r="C572" i="1"/>
  <c r="K572" i="1" s="1"/>
  <c r="C571" i="1"/>
  <c r="K571" i="1" s="1"/>
  <c r="C570" i="1"/>
  <c r="K570" i="1" s="1"/>
  <c r="C569" i="1"/>
  <c r="K569" i="1" s="1"/>
  <c r="C568" i="1"/>
  <c r="K568" i="1" s="1"/>
  <c r="C567" i="1"/>
  <c r="K567" i="1" s="1"/>
  <c r="C566" i="1"/>
  <c r="K566" i="1" s="1"/>
  <c r="C565" i="1"/>
  <c r="K565" i="1" s="1"/>
  <c r="C564" i="1"/>
  <c r="K564" i="1" s="1"/>
  <c r="C563" i="1"/>
  <c r="K563" i="1" s="1"/>
  <c r="C562" i="1"/>
  <c r="K562" i="1" s="1"/>
  <c r="C561" i="1"/>
  <c r="K561" i="1" s="1"/>
  <c r="C560" i="1"/>
  <c r="K560" i="1" s="1"/>
  <c r="C559" i="1"/>
  <c r="K559" i="1" s="1"/>
  <c r="C558" i="1"/>
  <c r="K558" i="1" s="1"/>
  <c r="C557" i="1"/>
  <c r="K557" i="1" s="1"/>
  <c r="C556" i="1"/>
  <c r="K556" i="1" s="1"/>
  <c r="C555" i="1"/>
  <c r="K555" i="1" s="1"/>
  <c r="C554" i="1"/>
  <c r="K554" i="1" s="1"/>
  <c r="C553" i="1"/>
  <c r="K553" i="1" s="1"/>
  <c r="C552" i="1"/>
  <c r="K552" i="1" s="1"/>
  <c r="C551" i="1"/>
  <c r="K551" i="1" s="1"/>
  <c r="C550" i="1"/>
  <c r="K550" i="1" s="1"/>
  <c r="C549" i="1"/>
  <c r="K549" i="1" s="1"/>
  <c r="C548" i="1"/>
  <c r="K548" i="1" s="1"/>
  <c r="C547" i="1"/>
  <c r="K547" i="1" s="1"/>
  <c r="C546" i="1"/>
  <c r="K546" i="1" s="1"/>
  <c r="C545" i="1"/>
  <c r="K545" i="1" s="1"/>
  <c r="C544" i="1"/>
  <c r="K544" i="1" s="1"/>
  <c r="C543" i="1"/>
  <c r="K543" i="1" s="1"/>
  <c r="C542" i="1"/>
  <c r="K542" i="1" s="1"/>
  <c r="C541" i="1"/>
  <c r="K541" i="1" s="1"/>
  <c r="C540" i="1"/>
  <c r="K540" i="1" s="1"/>
  <c r="C539" i="1"/>
  <c r="K539" i="1" s="1"/>
  <c r="C538" i="1"/>
  <c r="K538" i="1" s="1"/>
  <c r="C537" i="1"/>
  <c r="K537" i="1" s="1"/>
  <c r="C536" i="1"/>
  <c r="K536" i="1" s="1"/>
  <c r="C535" i="1"/>
  <c r="K535" i="1" s="1"/>
  <c r="C534" i="1"/>
  <c r="K534" i="1" s="1"/>
  <c r="C533" i="1"/>
  <c r="K533" i="1" s="1"/>
  <c r="C532" i="1"/>
  <c r="K532" i="1" s="1"/>
  <c r="C531" i="1"/>
  <c r="K531" i="1" s="1"/>
  <c r="C530" i="1"/>
  <c r="K530" i="1" s="1"/>
  <c r="C529" i="1"/>
  <c r="K529" i="1" s="1"/>
  <c r="C528" i="1"/>
  <c r="K528" i="1" s="1"/>
  <c r="C527" i="1"/>
  <c r="K527" i="1" s="1"/>
  <c r="C526" i="1"/>
  <c r="K526" i="1" s="1"/>
  <c r="C525" i="1"/>
  <c r="K525" i="1" s="1"/>
  <c r="C524" i="1"/>
  <c r="K524" i="1" s="1"/>
  <c r="C523" i="1"/>
  <c r="K523" i="1" s="1"/>
  <c r="C522" i="1"/>
  <c r="K522" i="1" s="1"/>
  <c r="C521" i="1"/>
  <c r="K521" i="1" s="1"/>
  <c r="C520" i="1"/>
  <c r="K520" i="1" s="1"/>
  <c r="C519" i="1"/>
  <c r="K519" i="1" s="1"/>
  <c r="C518" i="1"/>
  <c r="K518" i="1" s="1"/>
  <c r="C517" i="1"/>
  <c r="K517" i="1" s="1"/>
  <c r="C516" i="1"/>
  <c r="K516" i="1" s="1"/>
  <c r="C515" i="1"/>
  <c r="K515" i="1" s="1"/>
  <c r="C514" i="1"/>
  <c r="K514" i="1" s="1"/>
  <c r="C513" i="1"/>
  <c r="K513" i="1" s="1"/>
  <c r="C512" i="1"/>
  <c r="K512" i="1" s="1"/>
  <c r="C511" i="1"/>
  <c r="K511" i="1" s="1"/>
  <c r="C510" i="1"/>
  <c r="K510" i="1" s="1"/>
  <c r="C509" i="1"/>
  <c r="K509" i="1" s="1"/>
  <c r="C508" i="1"/>
  <c r="K508" i="1" s="1"/>
  <c r="C507" i="1"/>
  <c r="K507" i="1" s="1"/>
  <c r="C506" i="1"/>
  <c r="K506" i="1" s="1"/>
  <c r="C505" i="1"/>
  <c r="K505" i="1" s="1"/>
  <c r="C504" i="1"/>
  <c r="K504" i="1" s="1"/>
  <c r="C503" i="1"/>
  <c r="K503" i="1" s="1"/>
  <c r="C502" i="1"/>
  <c r="K502" i="1" s="1"/>
  <c r="C501" i="1"/>
  <c r="K501" i="1" s="1"/>
  <c r="C500" i="1"/>
  <c r="K500" i="1" s="1"/>
  <c r="C499" i="1"/>
  <c r="K499" i="1" s="1"/>
  <c r="C498" i="1"/>
  <c r="K498" i="1" s="1"/>
  <c r="C497" i="1"/>
  <c r="K497" i="1" s="1"/>
  <c r="C496" i="1"/>
  <c r="K496" i="1" s="1"/>
  <c r="C495" i="1"/>
  <c r="K495" i="1" s="1"/>
  <c r="C494" i="1"/>
  <c r="K494" i="1" s="1"/>
  <c r="C493" i="1"/>
  <c r="K493" i="1" s="1"/>
  <c r="C492" i="1"/>
  <c r="K492" i="1" s="1"/>
  <c r="C491" i="1"/>
  <c r="K491" i="1" s="1"/>
  <c r="C490" i="1"/>
  <c r="K490" i="1" s="1"/>
  <c r="C489" i="1"/>
  <c r="K489" i="1" s="1"/>
  <c r="C488" i="1"/>
  <c r="K488" i="1" s="1"/>
  <c r="C487" i="1"/>
  <c r="K487" i="1" s="1"/>
  <c r="C486" i="1"/>
  <c r="K486" i="1" s="1"/>
  <c r="C485" i="1"/>
  <c r="K485" i="1" s="1"/>
  <c r="C484" i="1"/>
  <c r="K484" i="1" s="1"/>
  <c r="C483" i="1"/>
  <c r="K483" i="1" s="1"/>
  <c r="C482" i="1"/>
  <c r="K482" i="1" s="1"/>
  <c r="C481" i="1"/>
  <c r="K481" i="1" s="1"/>
  <c r="C480" i="1"/>
  <c r="K480" i="1" s="1"/>
  <c r="C479" i="1"/>
  <c r="K479" i="1" s="1"/>
  <c r="C478" i="1"/>
  <c r="K478" i="1" s="1"/>
  <c r="C477" i="1"/>
  <c r="K477" i="1" s="1"/>
  <c r="C476" i="1"/>
  <c r="K476" i="1" s="1"/>
  <c r="C475" i="1"/>
  <c r="K475" i="1" s="1"/>
  <c r="C474" i="1"/>
  <c r="K474" i="1" s="1"/>
  <c r="C473" i="1"/>
  <c r="K473" i="1" s="1"/>
  <c r="C472" i="1"/>
  <c r="K472" i="1" s="1"/>
  <c r="C471" i="1"/>
  <c r="K471" i="1" s="1"/>
  <c r="C470" i="1"/>
  <c r="K470" i="1" s="1"/>
  <c r="C469" i="1"/>
  <c r="K469" i="1" s="1"/>
  <c r="C468" i="1"/>
  <c r="K468" i="1" s="1"/>
  <c r="C467" i="1"/>
  <c r="K467" i="1" s="1"/>
  <c r="C466" i="1"/>
  <c r="K466" i="1" s="1"/>
  <c r="C465" i="1"/>
  <c r="K465" i="1" s="1"/>
  <c r="C464" i="1"/>
  <c r="K464" i="1" s="1"/>
  <c r="C463" i="1"/>
  <c r="K463" i="1" s="1"/>
  <c r="C462" i="1"/>
  <c r="K462" i="1" s="1"/>
  <c r="C461" i="1"/>
  <c r="K461" i="1" s="1"/>
  <c r="C460" i="1"/>
  <c r="K460" i="1" s="1"/>
  <c r="C459" i="1"/>
  <c r="K459" i="1" s="1"/>
  <c r="C458" i="1"/>
  <c r="K458" i="1" s="1"/>
  <c r="C457" i="1"/>
  <c r="K457" i="1" s="1"/>
  <c r="C456" i="1"/>
  <c r="K456" i="1" s="1"/>
  <c r="C455" i="1"/>
  <c r="K455" i="1" s="1"/>
  <c r="C454" i="1"/>
  <c r="K454" i="1" s="1"/>
  <c r="C453" i="1"/>
  <c r="K453" i="1" s="1"/>
  <c r="C452" i="1"/>
  <c r="K452" i="1" s="1"/>
  <c r="C451" i="1"/>
  <c r="K451" i="1" s="1"/>
  <c r="C450" i="1"/>
  <c r="K450" i="1" s="1"/>
  <c r="C449" i="1"/>
  <c r="K449" i="1" s="1"/>
  <c r="C448" i="1"/>
  <c r="K448" i="1" s="1"/>
  <c r="C447" i="1"/>
  <c r="K447" i="1" s="1"/>
  <c r="C446" i="1"/>
  <c r="K446" i="1" s="1"/>
  <c r="C445" i="1"/>
  <c r="K445" i="1" s="1"/>
  <c r="C444" i="1"/>
  <c r="K444" i="1" s="1"/>
  <c r="C443" i="1"/>
  <c r="K443" i="1" s="1"/>
  <c r="C442" i="1"/>
  <c r="K442" i="1" s="1"/>
  <c r="C441" i="1"/>
  <c r="K441" i="1" s="1"/>
  <c r="C440" i="1"/>
  <c r="K440" i="1" s="1"/>
  <c r="C439" i="1"/>
  <c r="K439" i="1" s="1"/>
  <c r="C438" i="1"/>
  <c r="K438" i="1" s="1"/>
  <c r="C437" i="1"/>
  <c r="K437" i="1" s="1"/>
  <c r="C436" i="1"/>
  <c r="K436" i="1" s="1"/>
  <c r="C435" i="1"/>
  <c r="K435" i="1" s="1"/>
  <c r="C434" i="1"/>
  <c r="K434" i="1" s="1"/>
  <c r="C433" i="1"/>
  <c r="K433" i="1" s="1"/>
  <c r="C432" i="1"/>
  <c r="K432" i="1" s="1"/>
  <c r="C431" i="1"/>
  <c r="K431" i="1" s="1"/>
  <c r="C430" i="1"/>
  <c r="K430" i="1" s="1"/>
  <c r="C429" i="1"/>
  <c r="K429" i="1" s="1"/>
  <c r="C428" i="1"/>
  <c r="K428" i="1" s="1"/>
  <c r="C427" i="1"/>
  <c r="K427" i="1" s="1"/>
  <c r="C426" i="1"/>
  <c r="K426" i="1" s="1"/>
  <c r="C425" i="1"/>
  <c r="K425" i="1" s="1"/>
  <c r="C424" i="1"/>
  <c r="K424" i="1" s="1"/>
  <c r="C423" i="1"/>
  <c r="K423" i="1" s="1"/>
  <c r="C422" i="1"/>
  <c r="K422" i="1" s="1"/>
  <c r="C421" i="1"/>
  <c r="K421" i="1" s="1"/>
  <c r="C420" i="1"/>
  <c r="K420" i="1" s="1"/>
  <c r="C419" i="1"/>
  <c r="K419" i="1" s="1"/>
  <c r="C418" i="1"/>
  <c r="K418" i="1" s="1"/>
  <c r="C417" i="1"/>
  <c r="K417" i="1" s="1"/>
  <c r="C416" i="1"/>
  <c r="K416" i="1" s="1"/>
  <c r="C415" i="1"/>
  <c r="K415" i="1" s="1"/>
  <c r="C414" i="1"/>
  <c r="K414" i="1" s="1"/>
  <c r="C413" i="1"/>
  <c r="K413" i="1" s="1"/>
  <c r="C412" i="1"/>
  <c r="K412" i="1" s="1"/>
  <c r="C411" i="1"/>
  <c r="K411" i="1" s="1"/>
  <c r="C410" i="1"/>
  <c r="K410" i="1" s="1"/>
  <c r="C409" i="1"/>
  <c r="K409" i="1" s="1"/>
  <c r="C408" i="1"/>
  <c r="K408" i="1" s="1"/>
  <c r="C407" i="1"/>
  <c r="K407" i="1" s="1"/>
  <c r="C406" i="1"/>
  <c r="K406" i="1" s="1"/>
  <c r="C405" i="1"/>
  <c r="K405" i="1" s="1"/>
  <c r="C404" i="1"/>
  <c r="K404" i="1" s="1"/>
  <c r="C403" i="1"/>
  <c r="K403" i="1" s="1"/>
  <c r="C402" i="1"/>
  <c r="K402" i="1" s="1"/>
  <c r="C401" i="1"/>
  <c r="K401" i="1" s="1"/>
  <c r="C400" i="1"/>
  <c r="K400" i="1" s="1"/>
  <c r="C399" i="1"/>
  <c r="K399" i="1" s="1"/>
  <c r="C398" i="1"/>
  <c r="K398" i="1" s="1"/>
  <c r="C397" i="1"/>
  <c r="K397" i="1" s="1"/>
  <c r="C396" i="1"/>
  <c r="K396" i="1" s="1"/>
  <c r="C395" i="1"/>
  <c r="K395" i="1" s="1"/>
  <c r="C394" i="1"/>
  <c r="K394" i="1" s="1"/>
  <c r="C393" i="1"/>
  <c r="K393" i="1" s="1"/>
  <c r="C392" i="1"/>
  <c r="K392" i="1" s="1"/>
  <c r="C391" i="1"/>
  <c r="K391" i="1" s="1"/>
  <c r="C390" i="1"/>
  <c r="K390" i="1" s="1"/>
  <c r="C389" i="1"/>
  <c r="K389" i="1" s="1"/>
  <c r="C388" i="1"/>
  <c r="K388" i="1" s="1"/>
  <c r="C387" i="1"/>
  <c r="K387" i="1" s="1"/>
  <c r="C386" i="1"/>
  <c r="K386" i="1" s="1"/>
  <c r="C385" i="1"/>
  <c r="K385" i="1" s="1"/>
  <c r="C384" i="1"/>
  <c r="K384" i="1" s="1"/>
  <c r="C383" i="1"/>
  <c r="K383" i="1" s="1"/>
  <c r="C382" i="1"/>
  <c r="K382" i="1" s="1"/>
  <c r="C381" i="1"/>
  <c r="K381" i="1" s="1"/>
  <c r="C380" i="1"/>
  <c r="K380" i="1" s="1"/>
  <c r="C379" i="1"/>
  <c r="K379" i="1" s="1"/>
  <c r="C378" i="1"/>
  <c r="K378" i="1" s="1"/>
  <c r="C377" i="1"/>
  <c r="K377" i="1" s="1"/>
  <c r="C376" i="1"/>
  <c r="K376" i="1" s="1"/>
  <c r="C375" i="1"/>
  <c r="K375" i="1" s="1"/>
  <c r="C374" i="1"/>
  <c r="K374" i="1" s="1"/>
  <c r="C373" i="1"/>
  <c r="K373" i="1" s="1"/>
  <c r="C372" i="1"/>
  <c r="K372" i="1" s="1"/>
  <c r="C371" i="1"/>
  <c r="K371" i="1" s="1"/>
  <c r="C370" i="1"/>
  <c r="K370" i="1" s="1"/>
  <c r="C369" i="1"/>
  <c r="K369" i="1" s="1"/>
  <c r="C368" i="1"/>
  <c r="K368" i="1" s="1"/>
  <c r="C367" i="1"/>
  <c r="K367" i="1" s="1"/>
  <c r="C366" i="1"/>
  <c r="K366" i="1" s="1"/>
  <c r="C365" i="1"/>
  <c r="K365" i="1" s="1"/>
  <c r="C364" i="1"/>
  <c r="K364" i="1" s="1"/>
  <c r="C363" i="1"/>
  <c r="K363" i="1" s="1"/>
  <c r="C362" i="1"/>
  <c r="K362" i="1" s="1"/>
  <c r="C361" i="1"/>
  <c r="K361" i="1" s="1"/>
  <c r="C360" i="1"/>
  <c r="K360" i="1" s="1"/>
  <c r="C359" i="1"/>
  <c r="K359" i="1" s="1"/>
  <c r="C358" i="1"/>
  <c r="K358" i="1" s="1"/>
  <c r="C357" i="1"/>
  <c r="K357" i="1" s="1"/>
  <c r="C356" i="1"/>
  <c r="K356" i="1" s="1"/>
  <c r="C355" i="1"/>
  <c r="K355" i="1" s="1"/>
  <c r="C354" i="1"/>
  <c r="K354" i="1" s="1"/>
  <c r="C353" i="1"/>
  <c r="K353" i="1" s="1"/>
  <c r="C352" i="1"/>
  <c r="K352" i="1" s="1"/>
  <c r="C351" i="1"/>
  <c r="K351" i="1" s="1"/>
  <c r="C350" i="1"/>
  <c r="K350" i="1" s="1"/>
  <c r="C349" i="1"/>
  <c r="K349" i="1" s="1"/>
  <c r="C348" i="1"/>
  <c r="K348" i="1" s="1"/>
  <c r="C347" i="1"/>
  <c r="K347" i="1" s="1"/>
  <c r="C346" i="1"/>
  <c r="K346" i="1" s="1"/>
  <c r="C345" i="1"/>
  <c r="K345" i="1" s="1"/>
  <c r="C344" i="1"/>
  <c r="K344" i="1" s="1"/>
  <c r="C343" i="1"/>
  <c r="K343" i="1" s="1"/>
  <c r="C342" i="1"/>
  <c r="K342" i="1" s="1"/>
  <c r="C341" i="1"/>
  <c r="K341" i="1" s="1"/>
  <c r="C340" i="1"/>
  <c r="K340" i="1" s="1"/>
  <c r="C339" i="1"/>
  <c r="K339" i="1" s="1"/>
  <c r="C338" i="1"/>
  <c r="K338" i="1" s="1"/>
  <c r="C337" i="1"/>
  <c r="K337" i="1" s="1"/>
  <c r="C336" i="1"/>
  <c r="K336" i="1" s="1"/>
  <c r="C335" i="1"/>
  <c r="K335" i="1" s="1"/>
  <c r="C334" i="1"/>
  <c r="K334" i="1" s="1"/>
  <c r="C333" i="1"/>
  <c r="K333" i="1" s="1"/>
  <c r="C332" i="1"/>
  <c r="K332" i="1" s="1"/>
  <c r="C331" i="1"/>
  <c r="K331" i="1" s="1"/>
  <c r="C330" i="1"/>
  <c r="K330" i="1" s="1"/>
  <c r="C329" i="1"/>
  <c r="K329" i="1" s="1"/>
  <c r="C328" i="1"/>
  <c r="K328" i="1" s="1"/>
  <c r="C327" i="1"/>
  <c r="K327" i="1" s="1"/>
  <c r="C326" i="1"/>
  <c r="K326" i="1" s="1"/>
  <c r="C325" i="1"/>
  <c r="K325" i="1" s="1"/>
  <c r="C324" i="1"/>
  <c r="K324" i="1" s="1"/>
  <c r="C323" i="1"/>
  <c r="K323" i="1" s="1"/>
  <c r="C322" i="1"/>
  <c r="K322" i="1" s="1"/>
  <c r="C321" i="1"/>
  <c r="K321" i="1" s="1"/>
  <c r="C320" i="1"/>
  <c r="K320" i="1" s="1"/>
  <c r="C319" i="1"/>
  <c r="K319" i="1" s="1"/>
  <c r="C318" i="1"/>
  <c r="K318" i="1" s="1"/>
  <c r="C317" i="1"/>
  <c r="K317" i="1" s="1"/>
  <c r="C316" i="1"/>
  <c r="K316" i="1" s="1"/>
  <c r="C315" i="1"/>
  <c r="K315" i="1" s="1"/>
  <c r="C314" i="1"/>
  <c r="K314" i="1" s="1"/>
  <c r="C313" i="1"/>
  <c r="K313" i="1" s="1"/>
  <c r="C312" i="1"/>
  <c r="K312" i="1" s="1"/>
  <c r="C311" i="1"/>
  <c r="K311" i="1" s="1"/>
  <c r="C310" i="1"/>
  <c r="K310" i="1" s="1"/>
  <c r="C309" i="1"/>
  <c r="K309" i="1" s="1"/>
  <c r="C308" i="1"/>
  <c r="K308" i="1" s="1"/>
  <c r="C307" i="1"/>
  <c r="K307" i="1" s="1"/>
  <c r="C306" i="1"/>
  <c r="K306" i="1" s="1"/>
  <c r="C305" i="1"/>
  <c r="K305" i="1" s="1"/>
  <c r="C304" i="1"/>
  <c r="K304" i="1" s="1"/>
  <c r="C303" i="1"/>
  <c r="K303" i="1" s="1"/>
  <c r="C302" i="1"/>
  <c r="K302" i="1" s="1"/>
  <c r="C301" i="1"/>
  <c r="K301" i="1" s="1"/>
  <c r="C300" i="1"/>
  <c r="K300" i="1" s="1"/>
  <c r="C299" i="1"/>
  <c r="K299" i="1" s="1"/>
  <c r="C298" i="1"/>
  <c r="K298" i="1" s="1"/>
  <c r="C297" i="1"/>
  <c r="K297" i="1" s="1"/>
  <c r="C296" i="1"/>
  <c r="K296" i="1" s="1"/>
  <c r="C295" i="1"/>
  <c r="K295" i="1" s="1"/>
  <c r="C294" i="1"/>
  <c r="K294" i="1" s="1"/>
  <c r="C293" i="1"/>
  <c r="K293" i="1" s="1"/>
  <c r="C292" i="1"/>
  <c r="K292" i="1" s="1"/>
  <c r="C291" i="1"/>
  <c r="K291" i="1" s="1"/>
  <c r="C290" i="1"/>
  <c r="K290" i="1" s="1"/>
  <c r="C289" i="1"/>
  <c r="K289" i="1" s="1"/>
  <c r="C288" i="1"/>
  <c r="K288" i="1" s="1"/>
  <c r="C287" i="1"/>
  <c r="K287" i="1" s="1"/>
  <c r="C286" i="1"/>
  <c r="K286" i="1" s="1"/>
  <c r="C285" i="1"/>
  <c r="K285" i="1" s="1"/>
  <c r="C284" i="1"/>
  <c r="K284" i="1" s="1"/>
  <c r="C283" i="1"/>
  <c r="K283" i="1" s="1"/>
  <c r="C282" i="1"/>
  <c r="K282" i="1" s="1"/>
  <c r="C281" i="1"/>
  <c r="K281" i="1" s="1"/>
  <c r="C280" i="1"/>
  <c r="K280" i="1" s="1"/>
  <c r="C279" i="1"/>
  <c r="K279" i="1" s="1"/>
  <c r="C278" i="1"/>
  <c r="K278" i="1" s="1"/>
  <c r="C277" i="1"/>
  <c r="K277" i="1" s="1"/>
  <c r="C276" i="1"/>
  <c r="K276" i="1" s="1"/>
  <c r="C275" i="1"/>
  <c r="K275" i="1" s="1"/>
  <c r="C274" i="1"/>
  <c r="K274" i="1" s="1"/>
  <c r="C273" i="1"/>
  <c r="K273" i="1" s="1"/>
  <c r="C272" i="1"/>
  <c r="K272" i="1" s="1"/>
  <c r="C271" i="1"/>
  <c r="K271" i="1" s="1"/>
  <c r="C270" i="1"/>
  <c r="K270" i="1" s="1"/>
  <c r="C269" i="1"/>
  <c r="K269" i="1" s="1"/>
  <c r="C268" i="1"/>
  <c r="K268" i="1" s="1"/>
  <c r="C267" i="1"/>
  <c r="K267" i="1" s="1"/>
  <c r="C266" i="1"/>
  <c r="K266" i="1" s="1"/>
  <c r="C265" i="1"/>
  <c r="K265" i="1" s="1"/>
  <c r="C264" i="1"/>
  <c r="K264" i="1" s="1"/>
  <c r="C263" i="1"/>
  <c r="K263" i="1" s="1"/>
  <c r="C262" i="1"/>
  <c r="K262" i="1" s="1"/>
  <c r="C261" i="1"/>
  <c r="K261" i="1" s="1"/>
  <c r="C260" i="1"/>
  <c r="K260" i="1" s="1"/>
  <c r="C259" i="1"/>
  <c r="K259" i="1" s="1"/>
  <c r="C258" i="1"/>
  <c r="K258" i="1" s="1"/>
  <c r="C257" i="1"/>
  <c r="K257" i="1" s="1"/>
  <c r="C256" i="1"/>
  <c r="K256" i="1" s="1"/>
  <c r="C255" i="1"/>
  <c r="K255" i="1" s="1"/>
  <c r="C254" i="1"/>
  <c r="K254" i="1" s="1"/>
  <c r="C253" i="1"/>
  <c r="K253" i="1" s="1"/>
  <c r="C252" i="1"/>
  <c r="K252" i="1" s="1"/>
  <c r="C251" i="1"/>
  <c r="K251" i="1" s="1"/>
  <c r="C250" i="1"/>
  <c r="K250" i="1" s="1"/>
  <c r="C249" i="1"/>
  <c r="K249" i="1" s="1"/>
  <c r="C248" i="1"/>
  <c r="K248" i="1" s="1"/>
  <c r="C247" i="1"/>
  <c r="K247" i="1" s="1"/>
  <c r="C246" i="1"/>
  <c r="K246" i="1" s="1"/>
  <c r="C245" i="1"/>
  <c r="K245" i="1" s="1"/>
  <c r="C244" i="1"/>
  <c r="K244" i="1" s="1"/>
  <c r="C243" i="1"/>
  <c r="K243" i="1" s="1"/>
  <c r="C242" i="1"/>
  <c r="K242" i="1" s="1"/>
  <c r="C241" i="1"/>
  <c r="K241" i="1" s="1"/>
  <c r="C240" i="1"/>
  <c r="K240" i="1" s="1"/>
  <c r="C239" i="1"/>
  <c r="K239" i="1" s="1"/>
  <c r="C238" i="1"/>
  <c r="K238" i="1" s="1"/>
  <c r="C237" i="1"/>
  <c r="K237" i="1" s="1"/>
  <c r="C236" i="1"/>
  <c r="K236" i="1" s="1"/>
  <c r="C235" i="1"/>
  <c r="K235" i="1" s="1"/>
  <c r="C234" i="1"/>
  <c r="K234" i="1" s="1"/>
  <c r="C233" i="1"/>
  <c r="K233" i="1" s="1"/>
  <c r="C232" i="1"/>
  <c r="K232" i="1" s="1"/>
  <c r="C231" i="1"/>
  <c r="K231" i="1" s="1"/>
  <c r="C230" i="1"/>
  <c r="K230" i="1" s="1"/>
  <c r="C229" i="1"/>
  <c r="K229" i="1" s="1"/>
  <c r="C228" i="1"/>
  <c r="K228" i="1" s="1"/>
  <c r="C227" i="1"/>
  <c r="K227" i="1" s="1"/>
  <c r="C226" i="1"/>
  <c r="K226" i="1" s="1"/>
  <c r="C225" i="1"/>
  <c r="K225" i="1" s="1"/>
  <c r="C224" i="1"/>
  <c r="K224" i="1" s="1"/>
  <c r="C223" i="1"/>
  <c r="K223" i="1" s="1"/>
  <c r="C222" i="1"/>
  <c r="K222" i="1" s="1"/>
  <c r="C221" i="1"/>
  <c r="K221" i="1" s="1"/>
  <c r="C220" i="1"/>
  <c r="K220" i="1" s="1"/>
  <c r="C219" i="1"/>
  <c r="K219" i="1" s="1"/>
  <c r="C218" i="1"/>
  <c r="K218" i="1" s="1"/>
  <c r="C217" i="1"/>
  <c r="K217" i="1" s="1"/>
  <c r="C216" i="1"/>
  <c r="K216" i="1" s="1"/>
  <c r="C215" i="1"/>
  <c r="K215" i="1" s="1"/>
  <c r="C214" i="1"/>
  <c r="K214" i="1" s="1"/>
  <c r="C213" i="1"/>
  <c r="K213" i="1" s="1"/>
  <c r="C212" i="1"/>
  <c r="K212" i="1" s="1"/>
  <c r="C211" i="1"/>
  <c r="K211" i="1" s="1"/>
  <c r="C210" i="1"/>
  <c r="K210" i="1" s="1"/>
  <c r="C209" i="1"/>
  <c r="K209" i="1" s="1"/>
  <c r="C208" i="1"/>
  <c r="K208" i="1" s="1"/>
  <c r="C207" i="1"/>
  <c r="K207" i="1" s="1"/>
  <c r="C206" i="1"/>
  <c r="K206" i="1" s="1"/>
  <c r="C205" i="1"/>
  <c r="K205" i="1" s="1"/>
  <c r="C204" i="1"/>
  <c r="K204" i="1" s="1"/>
  <c r="C203" i="1"/>
  <c r="K203" i="1" s="1"/>
  <c r="C202" i="1"/>
  <c r="K202" i="1" s="1"/>
  <c r="C201" i="1"/>
  <c r="K201" i="1" s="1"/>
  <c r="C200" i="1"/>
  <c r="K200" i="1" s="1"/>
  <c r="C199" i="1"/>
  <c r="K199" i="1" s="1"/>
  <c r="C198" i="1"/>
  <c r="K198" i="1" s="1"/>
  <c r="C197" i="1"/>
  <c r="K197" i="1" s="1"/>
  <c r="C196" i="1"/>
  <c r="K196" i="1" s="1"/>
  <c r="C195" i="1"/>
  <c r="K195" i="1" s="1"/>
  <c r="C194" i="1"/>
  <c r="K194" i="1" s="1"/>
  <c r="C193" i="1"/>
  <c r="K193" i="1" s="1"/>
  <c r="C192" i="1"/>
  <c r="K192" i="1" s="1"/>
  <c r="C191" i="1"/>
  <c r="K191" i="1" s="1"/>
  <c r="C190" i="1"/>
  <c r="K190" i="1" s="1"/>
  <c r="C189" i="1"/>
  <c r="K189" i="1" s="1"/>
  <c r="C188" i="1"/>
  <c r="K188" i="1" s="1"/>
  <c r="C187" i="1"/>
  <c r="K187" i="1" s="1"/>
  <c r="C186" i="1"/>
  <c r="K186" i="1" s="1"/>
  <c r="C185" i="1"/>
  <c r="K185" i="1" s="1"/>
  <c r="C184" i="1"/>
  <c r="K184" i="1" s="1"/>
  <c r="C183" i="1"/>
  <c r="K183" i="1" s="1"/>
  <c r="C182" i="1"/>
  <c r="K182" i="1" s="1"/>
  <c r="C181" i="1"/>
  <c r="K181" i="1" s="1"/>
  <c r="C180" i="1"/>
  <c r="K180" i="1" s="1"/>
  <c r="C179" i="1"/>
  <c r="K179" i="1" s="1"/>
  <c r="C178" i="1"/>
  <c r="K178" i="1" s="1"/>
  <c r="C177" i="1"/>
  <c r="K177" i="1" s="1"/>
  <c r="C176" i="1"/>
  <c r="K176" i="1" s="1"/>
  <c r="C175" i="1"/>
  <c r="K175" i="1" s="1"/>
  <c r="C174" i="1"/>
  <c r="K174" i="1" s="1"/>
  <c r="C173" i="1"/>
  <c r="K173" i="1" s="1"/>
  <c r="C172" i="1"/>
  <c r="K172" i="1" s="1"/>
  <c r="C171" i="1"/>
  <c r="K171" i="1" s="1"/>
  <c r="C170" i="1"/>
  <c r="K170" i="1" s="1"/>
  <c r="C169" i="1"/>
  <c r="K169" i="1" s="1"/>
  <c r="C168" i="1"/>
  <c r="K168" i="1" s="1"/>
  <c r="C167" i="1"/>
  <c r="K167" i="1" s="1"/>
  <c r="C166" i="1"/>
  <c r="K166" i="1" s="1"/>
  <c r="C165" i="1"/>
  <c r="K165" i="1" s="1"/>
  <c r="C164" i="1"/>
  <c r="K164" i="1" s="1"/>
  <c r="C163" i="1"/>
  <c r="K163" i="1" s="1"/>
  <c r="C162" i="1"/>
  <c r="K162" i="1" s="1"/>
  <c r="C161" i="1"/>
  <c r="K161" i="1" s="1"/>
  <c r="C160" i="1"/>
  <c r="K160" i="1" s="1"/>
  <c r="C159" i="1"/>
  <c r="K159" i="1" s="1"/>
  <c r="C158" i="1"/>
  <c r="K158" i="1" s="1"/>
  <c r="C157" i="1"/>
  <c r="K157" i="1" s="1"/>
  <c r="C156" i="1"/>
  <c r="K156" i="1" s="1"/>
  <c r="C155" i="1"/>
  <c r="K155" i="1" s="1"/>
  <c r="C154" i="1"/>
  <c r="K154" i="1" s="1"/>
  <c r="C153" i="1"/>
  <c r="K153" i="1" s="1"/>
  <c r="C152" i="1"/>
  <c r="K152" i="1" s="1"/>
  <c r="C151" i="1"/>
  <c r="K151" i="1" s="1"/>
  <c r="C150" i="1"/>
  <c r="K150" i="1" s="1"/>
  <c r="C149" i="1"/>
  <c r="K149" i="1" s="1"/>
  <c r="C148" i="1"/>
  <c r="K148" i="1" s="1"/>
  <c r="C147" i="1"/>
  <c r="K147" i="1" s="1"/>
  <c r="C146" i="1"/>
  <c r="K146" i="1" s="1"/>
  <c r="C145" i="1"/>
  <c r="K145" i="1" s="1"/>
  <c r="C144" i="1"/>
  <c r="K144" i="1" s="1"/>
  <c r="C143" i="1"/>
  <c r="K143" i="1" s="1"/>
  <c r="C142" i="1"/>
  <c r="K142" i="1" s="1"/>
  <c r="C141" i="1"/>
  <c r="K141" i="1" s="1"/>
  <c r="C140" i="1"/>
  <c r="K140" i="1" s="1"/>
  <c r="C139" i="1"/>
  <c r="K139" i="1" s="1"/>
  <c r="C138" i="1"/>
  <c r="K138" i="1" s="1"/>
  <c r="C137" i="1"/>
  <c r="K137" i="1" s="1"/>
  <c r="C136" i="1"/>
  <c r="K136" i="1" s="1"/>
  <c r="C135" i="1"/>
  <c r="K135" i="1" s="1"/>
  <c r="C134" i="1"/>
  <c r="K134" i="1" s="1"/>
  <c r="C133" i="1"/>
  <c r="K133" i="1" s="1"/>
  <c r="C132" i="1"/>
  <c r="K132" i="1" s="1"/>
  <c r="C131" i="1"/>
  <c r="K131" i="1" s="1"/>
  <c r="C130" i="1"/>
  <c r="K130" i="1" s="1"/>
  <c r="C129" i="1"/>
  <c r="K129" i="1" s="1"/>
  <c r="C128" i="1"/>
  <c r="K128" i="1" s="1"/>
  <c r="C127" i="1"/>
  <c r="K127" i="1" s="1"/>
  <c r="C126" i="1"/>
  <c r="K126" i="1" s="1"/>
  <c r="C125" i="1"/>
  <c r="K125" i="1" s="1"/>
  <c r="C124" i="1"/>
  <c r="K124" i="1" s="1"/>
  <c r="C123" i="1"/>
  <c r="K123" i="1" s="1"/>
  <c r="C122" i="1"/>
  <c r="K122" i="1" s="1"/>
  <c r="C121" i="1"/>
  <c r="K121" i="1" s="1"/>
  <c r="C120" i="1"/>
  <c r="K120" i="1" s="1"/>
  <c r="C119" i="1"/>
  <c r="K119" i="1" s="1"/>
  <c r="C118" i="1"/>
  <c r="K118" i="1" s="1"/>
  <c r="C117" i="1"/>
  <c r="K117" i="1" s="1"/>
  <c r="C116" i="1"/>
  <c r="K116" i="1" s="1"/>
  <c r="C115" i="1"/>
  <c r="K115" i="1" s="1"/>
  <c r="C114" i="1"/>
  <c r="K114" i="1" s="1"/>
  <c r="C113" i="1"/>
  <c r="K113" i="1" s="1"/>
  <c r="C112" i="1"/>
  <c r="K112" i="1" s="1"/>
  <c r="C111" i="1"/>
  <c r="K111" i="1" s="1"/>
  <c r="C110" i="1"/>
  <c r="K110" i="1" s="1"/>
  <c r="C109" i="1"/>
  <c r="K109" i="1" s="1"/>
  <c r="C108" i="1"/>
  <c r="K108" i="1" s="1"/>
  <c r="C107" i="1"/>
  <c r="K107" i="1" s="1"/>
  <c r="C106" i="1"/>
  <c r="K106" i="1" s="1"/>
  <c r="C105" i="1"/>
  <c r="K105" i="1" s="1"/>
  <c r="C104" i="1"/>
  <c r="K104" i="1" s="1"/>
  <c r="C103" i="1"/>
  <c r="K103" i="1" s="1"/>
  <c r="C102" i="1"/>
  <c r="K102" i="1" s="1"/>
  <c r="C101" i="1"/>
  <c r="K101" i="1" s="1"/>
  <c r="C100" i="1"/>
  <c r="K100" i="1" s="1"/>
  <c r="C99" i="1"/>
  <c r="K99" i="1" s="1"/>
  <c r="C98" i="1"/>
  <c r="K98" i="1" s="1"/>
  <c r="C97" i="1"/>
  <c r="K97" i="1" s="1"/>
  <c r="C96" i="1"/>
  <c r="K96" i="1" s="1"/>
  <c r="C95" i="1"/>
  <c r="K95" i="1" s="1"/>
  <c r="C94" i="1"/>
  <c r="K94" i="1" s="1"/>
  <c r="C93" i="1"/>
  <c r="K93" i="1" s="1"/>
  <c r="C92" i="1"/>
  <c r="K92" i="1" s="1"/>
  <c r="C91" i="1"/>
  <c r="K91" i="1" s="1"/>
  <c r="C90" i="1"/>
  <c r="K90" i="1" s="1"/>
  <c r="C89" i="1"/>
  <c r="K89" i="1" s="1"/>
  <c r="C88" i="1"/>
  <c r="K88" i="1" s="1"/>
  <c r="C87" i="1"/>
  <c r="K87" i="1" s="1"/>
  <c r="C86" i="1"/>
  <c r="K86" i="1" s="1"/>
  <c r="C85" i="1"/>
  <c r="K85" i="1" s="1"/>
  <c r="C84" i="1"/>
  <c r="K84" i="1" s="1"/>
  <c r="C83" i="1"/>
  <c r="K83" i="1" s="1"/>
  <c r="C82" i="1"/>
  <c r="K82" i="1" s="1"/>
  <c r="C81" i="1"/>
  <c r="K81" i="1" s="1"/>
  <c r="C80" i="1"/>
  <c r="K80" i="1" s="1"/>
  <c r="C79" i="1"/>
  <c r="K79" i="1" s="1"/>
  <c r="C78" i="1"/>
  <c r="K78" i="1" s="1"/>
  <c r="C77" i="1"/>
  <c r="K77" i="1" s="1"/>
  <c r="C76" i="1"/>
  <c r="K76" i="1" s="1"/>
  <c r="C75" i="1"/>
  <c r="K75" i="1" s="1"/>
  <c r="C74" i="1"/>
  <c r="K74" i="1" s="1"/>
  <c r="C73" i="1"/>
  <c r="K73" i="1" s="1"/>
  <c r="C72" i="1"/>
  <c r="K72" i="1" s="1"/>
  <c r="C71" i="1"/>
  <c r="K71" i="1" s="1"/>
  <c r="C70" i="1"/>
  <c r="K70" i="1" s="1"/>
  <c r="C69" i="1"/>
  <c r="K69" i="1" s="1"/>
  <c r="C68" i="1"/>
  <c r="K68" i="1" s="1"/>
  <c r="C67" i="1"/>
  <c r="K67" i="1" s="1"/>
  <c r="C66" i="1"/>
  <c r="K66" i="1" s="1"/>
  <c r="C65" i="1"/>
  <c r="K65" i="1" s="1"/>
  <c r="C64" i="1"/>
  <c r="K64" i="1" s="1"/>
  <c r="C63" i="1"/>
  <c r="K63" i="1" s="1"/>
  <c r="C62" i="1"/>
  <c r="K62" i="1" s="1"/>
  <c r="C61" i="1"/>
  <c r="K61" i="1" s="1"/>
  <c r="C60" i="1"/>
  <c r="K60" i="1" s="1"/>
  <c r="C59" i="1"/>
  <c r="K59" i="1" s="1"/>
  <c r="C58" i="1"/>
  <c r="K58" i="1" s="1"/>
  <c r="C57" i="1"/>
  <c r="K57" i="1" s="1"/>
  <c r="C56" i="1"/>
  <c r="K56" i="1" s="1"/>
  <c r="C55" i="1"/>
  <c r="K55" i="1" s="1"/>
  <c r="C54" i="1"/>
  <c r="K54" i="1" s="1"/>
  <c r="C53" i="1"/>
  <c r="K53" i="1" s="1"/>
  <c r="C52" i="1"/>
  <c r="K52" i="1" s="1"/>
  <c r="C51" i="1"/>
  <c r="K51" i="1" s="1"/>
  <c r="C50" i="1"/>
  <c r="K50" i="1" s="1"/>
  <c r="C49" i="1"/>
  <c r="K49" i="1" s="1"/>
  <c r="C48" i="1"/>
  <c r="K48" i="1" s="1"/>
  <c r="C47" i="1"/>
  <c r="K47" i="1" s="1"/>
  <c r="C46" i="1"/>
  <c r="K46" i="1" s="1"/>
  <c r="C45" i="1"/>
  <c r="K45" i="1" s="1"/>
  <c r="C44" i="1"/>
  <c r="K44" i="1" s="1"/>
  <c r="C43" i="1"/>
  <c r="K43" i="1" s="1"/>
  <c r="C42" i="1"/>
  <c r="K42" i="1" s="1"/>
  <c r="C41" i="1"/>
  <c r="K41" i="1" s="1"/>
  <c r="C40" i="1"/>
  <c r="K40" i="1" s="1"/>
  <c r="C39" i="1"/>
  <c r="K39" i="1" s="1"/>
  <c r="C38" i="1"/>
  <c r="K38" i="1" s="1"/>
  <c r="C37" i="1"/>
  <c r="K37" i="1" s="1"/>
  <c r="C36" i="1"/>
  <c r="K36" i="1" s="1"/>
  <c r="C35" i="1"/>
  <c r="K35" i="1" s="1"/>
  <c r="C34" i="1"/>
  <c r="K34" i="1" s="1"/>
  <c r="C33" i="1"/>
  <c r="K33" i="1" s="1"/>
  <c r="C32" i="1"/>
  <c r="K32" i="1" s="1"/>
  <c r="C31" i="1"/>
  <c r="K31" i="1" s="1"/>
  <c r="C30" i="1"/>
  <c r="K30" i="1" s="1"/>
  <c r="C29" i="1"/>
  <c r="K29" i="1" s="1"/>
  <c r="C28" i="1"/>
  <c r="K28" i="1" s="1"/>
  <c r="C27" i="1"/>
  <c r="K27" i="1" s="1"/>
  <c r="C26" i="1"/>
  <c r="K26" i="1" s="1"/>
  <c r="C25" i="1"/>
  <c r="K25" i="1" s="1"/>
  <c r="C24" i="1"/>
  <c r="K24" i="1" s="1"/>
  <c r="C23" i="1"/>
  <c r="K23" i="1" s="1"/>
  <c r="C22" i="1"/>
  <c r="K22" i="1" s="1"/>
  <c r="C21" i="1"/>
  <c r="K21" i="1" s="1"/>
  <c r="C20" i="1"/>
  <c r="K20" i="1" s="1"/>
  <c r="C19" i="1"/>
  <c r="K19" i="1" s="1"/>
  <c r="C18" i="1"/>
  <c r="K18" i="1" s="1"/>
  <c r="C17" i="1"/>
  <c r="K17" i="1" s="1"/>
  <c r="C16" i="1"/>
  <c r="K16" i="1" s="1"/>
  <c r="C15" i="1"/>
  <c r="K15" i="1" s="1"/>
  <c r="C14" i="1"/>
  <c r="K14" i="1" s="1"/>
  <c r="C13" i="1"/>
  <c r="K13" i="1" s="1"/>
  <c r="C12" i="1"/>
  <c r="K12" i="1" s="1"/>
  <c r="C11" i="1"/>
  <c r="K11" i="1" s="1"/>
  <c r="C10" i="1"/>
  <c r="K10" i="1" s="1"/>
  <c r="C9" i="1"/>
  <c r="K9" i="1" s="1"/>
  <c r="C8" i="1"/>
  <c r="K8" i="1" s="1"/>
  <c r="C7" i="1"/>
  <c r="K7" i="1" s="1"/>
  <c r="C6" i="1"/>
  <c r="K6" i="1" s="1"/>
  <c r="C5" i="1"/>
  <c r="K5" i="1" s="1"/>
  <c r="C4" i="1"/>
  <c r="K4" i="1" s="1"/>
  <c r="C3" i="1"/>
  <c r="K3" i="1" s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J25" i="21" s="1"/>
  <c r="A24" i="1"/>
  <c r="J24" i="21" s="1"/>
  <c r="A23" i="1"/>
  <c r="J23" i="21" s="1"/>
  <c r="A22" i="1"/>
  <c r="J22" i="21" s="1"/>
  <c r="A21" i="1"/>
  <c r="J21" i="21" s="1"/>
  <c r="A20" i="1"/>
  <c r="J20" i="21" s="1"/>
  <c r="A19" i="1"/>
  <c r="J19" i="21" s="1"/>
  <c r="A18" i="1"/>
  <c r="J18" i="21" s="1"/>
  <c r="A17" i="1"/>
  <c r="J17" i="21" s="1"/>
  <c r="A16" i="1"/>
  <c r="J16" i="21" s="1"/>
  <c r="A15" i="1"/>
  <c r="J15" i="21" s="1"/>
  <c r="A14" i="1"/>
  <c r="J14" i="21" s="1"/>
  <c r="A13" i="1"/>
  <c r="A12" i="1"/>
  <c r="A11" i="1"/>
  <c r="A10" i="1"/>
  <c r="A9" i="1"/>
  <c r="A8" i="1"/>
  <c r="A7" i="1"/>
  <c r="A6" i="1"/>
  <c r="A5" i="1"/>
  <c r="A4" i="1"/>
  <c r="A3" i="1"/>
  <c r="K8" i="21" l="1"/>
  <c r="N9" i="2"/>
  <c r="A5" i="13"/>
  <c r="K8" i="16"/>
  <c r="G77" i="15"/>
  <c r="I77" i="15"/>
  <c r="F77" i="15"/>
  <c r="H77" i="15"/>
  <c r="J77" i="15"/>
  <c r="G52" i="10"/>
  <c r="H140" i="2"/>
  <c r="H138" i="5" s="1"/>
  <c r="H139" i="2"/>
  <c r="H137" i="5" s="1"/>
  <c r="H137" i="2"/>
  <c r="H135" i="5" s="1"/>
  <c r="H145" i="2"/>
  <c r="H143" i="5" s="1"/>
  <c r="H144" i="2"/>
  <c r="H142" i="5" s="1"/>
  <c r="H142" i="2"/>
  <c r="H140" i="5" s="1"/>
  <c r="H138" i="2"/>
  <c r="H136" i="5" s="1"/>
  <c r="H146" i="2"/>
  <c r="H144" i="5" s="1"/>
  <c r="H143" i="2"/>
  <c r="H141" i="5" s="1"/>
  <c r="H141" i="2"/>
  <c r="H139" i="5" s="1"/>
  <c r="I52" i="10"/>
  <c r="J142" i="2"/>
  <c r="J140" i="5" s="1"/>
  <c r="J138" i="2"/>
  <c r="J136" i="5" s="1"/>
  <c r="J143" i="2"/>
  <c r="J141" i="5" s="1"/>
  <c r="J139" i="2"/>
  <c r="J137" i="5" s="1"/>
  <c r="J141" i="2"/>
  <c r="J139" i="5" s="1"/>
  <c r="J137" i="2"/>
  <c r="J135" i="5" s="1"/>
  <c r="J146" i="2"/>
  <c r="J144" i="5" s="1"/>
  <c r="J140" i="2"/>
  <c r="J138" i="5" s="1"/>
  <c r="J145" i="2"/>
  <c r="J143" i="5" s="1"/>
  <c r="J144" i="2"/>
  <c r="J142" i="5" s="1"/>
  <c r="W31" i="2"/>
  <c r="W32" i="2" s="1"/>
  <c r="L137" i="2"/>
  <c r="L135" i="5" s="1"/>
  <c r="DY12" i="8" s="1"/>
  <c r="L138" i="2"/>
  <c r="L136" i="5" s="1"/>
  <c r="DZ12" i="8" s="1"/>
  <c r="L139" i="2"/>
  <c r="L137" i="5" s="1"/>
  <c r="EA12" i="8" s="1"/>
  <c r="L140" i="2"/>
  <c r="L138" i="5" s="1"/>
  <c r="EB12" i="8" s="1"/>
  <c r="L141" i="2"/>
  <c r="L139" i="5" s="1"/>
  <c r="EC12" i="8" s="1"/>
  <c r="L142" i="2"/>
  <c r="L140" i="5" s="1"/>
  <c r="ED12" i="8" s="1"/>
  <c r="L143" i="2"/>
  <c r="L141" i="5" s="1"/>
  <c r="EE12" i="8" s="1"/>
  <c r="L144" i="2"/>
  <c r="L142" i="5" s="1"/>
  <c r="EF12" i="8" s="1"/>
  <c r="L145" i="2"/>
  <c r="L143" i="5" s="1"/>
  <c r="EG12" i="8" s="1"/>
  <c r="L146" i="2"/>
  <c r="L144" i="5" s="1"/>
  <c r="EH12" i="8" s="1"/>
  <c r="F52" i="10"/>
  <c r="G146" i="2"/>
  <c r="G144" i="5" s="1"/>
  <c r="G137" i="2"/>
  <c r="G135" i="5" s="1"/>
  <c r="G144" i="2"/>
  <c r="G142" i="5" s="1"/>
  <c r="G143" i="2"/>
  <c r="G141" i="5" s="1"/>
  <c r="G139" i="2"/>
  <c r="G137" i="5" s="1"/>
  <c r="G140" i="2"/>
  <c r="G138" i="5" s="1"/>
  <c r="G145" i="2"/>
  <c r="G143" i="5" s="1"/>
  <c r="G142" i="2"/>
  <c r="G140" i="5" s="1"/>
  <c r="G138" i="2"/>
  <c r="G136" i="5" s="1"/>
  <c r="G141" i="2"/>
  <c r="G139" i="5" s="1"/>
  <c r="H52" i="10"/>
  <c r="I140" i="2"/>
  <c r="I138" i="5" s="1"/>
  <c r="I137" i="2"/>
  <c r="I135" i="5" s="1"/>
  <c r="I138" i="2"/>
  <c r="I136" i="5" s="1"/>
  <c r="I139" i="2"/>
  <c r="I137" i="5" s="1"/>
  <c r="J52" i="10"/>
  <c r="K145" i="2"/>
  <c r="K143" i="5" s="1"/>
  <c r="K144" i="2"/>
  <c r="K142" i="5" s="1"/>
  <c r="K140" i="2"/>
  <c r="K138" i="5" s="1"/>
  <c r="K143" i="2"/>
  <c r="K141" i="5" s="1"/>
  <c r="K139" i="2"/>
  <c r="K137" i="5" s="1"/>
  <c r="K142" i="2"/>
  <c r="K140" i="5" s="1"/>
  <c r="K141" i="2"/>
  <c r="K139" i="5" s="1"/>
  <c r="K138" i="2"/>
  <c r="K136" i="5" s="1"/>
  <c r="K137" i="2"/>
  <c r="K135" i="5" s="1"/>
  <c r="K146" i="2"/>
  <c r="K144" i="5" s="1"/>
  <c r="I64" i="9"/>
  <c r="I53" i="10"/>
  <c r="G64" i="9"/>
  <c r="G53" i="10"/>
  <c r="G54" i="10" s="1"/>
  <c r="F64" i="9"/>
  <c r="F53" i="10"/>
  <c r="H64" i="9"/>
  <c r="H53" i="10"/>
  <c r="J64" i="9"/>
  <c r="J53" i="10"/>
  <c r="J54" i="10" s="1"/>
  <c r="J66" i="9"/>
  <c r="J55" i="10"/>
  <c r="H66" i="9"/>
  <c r="H55" i="10"/>
  <c r="F66" i="9"/>
  <c r="F55" i="10"/>
  <c r="I66" i="9"/>
  <c r="I55" i="10"/>
  <c r="G66" i="9"/>
  <c r="G55" i="10"/>
  <c r="S31" i="2"/>
  <c r="G63" i="9"/>
  <c r="U31" i="2"/>
  <c r="I63" i="9"/>
  <c r="I65" i="9" s="1"/>
  <c r="R31" i="2"/>
  <c r="F63" i="9"/>
  <c r="T31" i="2"/>
  <c r="H63" i="9"/>
  <c r="V31" i="2"/>
  <c r="J63" i="9"/>
  <c r="A6" i="4"/>
  <c r="L13" i="2"/>
  <c r="L11" i="5" s="1"/>
  <c r="E12" i="8" s="1"/>
  <c r="I13" i="2"/>
  <c r="I11" i="2"/>
  <c r="I12" i="2"/>
  <c r="K11" i="2"/>
  <c r="K13" i="2"/>
  <c r="K12" i="2"/>
  <c r="G13" i="2"/>
  <c r="G12" i="2"/>
  <c r="G11" i="2"/>
  <c r="H13" i="2"/>
  <c r="H12" i="2"/>
  <c r="H11" i="2"/>
  <c r="J13" i="2"/>
  <c r="J12" i="2"/>
  <c r="J11" i="2"/>
  <c r="L12" i="2"/>
  <c r="L11" i="2"/>
  <c r="L9" i="2"/>
  <c r="K9" i="2"/>
  <c r="K3" i="2" s="1"/>
  <c r="L48" i="15" s="1"/>
  <c r="J9" i="2"/>
  <c r="J3" i="2" s="1"/>
  <c r="L49" i="15" s="1"/>
  <c r="I9" i="2"/>
  <c r="I3" i="2" s="1"/>
  <c r="L50" i="15" s="1"/>
  <c r="H9" i="2"/>
  <c r="H3" i="2" s="1"/>
  <c r="L51" i="15" s="1"/>
  <c r="G9" i="2"/>
  <c r="G3" i="2" s="1"/>
  <c r="L52" i="15" s="1"/>
  <c r="D8" i="2" a="1"/>
  <c r="D8" i="2" s="1"/>
  <c r="C76" i="15" s="1"/>
  <c r="N8" i="21" l="1"/>
  <c r="O8" i="21"/>
  <c r="H54" i="10"/>
  <c r="H56" i="10" s="1"/>
  <c r="N10" i="2"/>
  <c r="A6" i="13"/>
  <c r="F54" i="10"/>
  <c r="F56" i="10" s="1"/>
  <c r="K9" i="16"/>
  <c r="L8" i="16"/>
  <c r="L9" i="16" s="1"/>
  <c r="G56" i="10"/>
  <c r="F65" i="9"/>
  <c r="F67" i="9" s="1"/>
  <c r="I67" i="9"/>
  <c r="I54" i="10"/>
  <c r="H65" i="9"/>
  <c r="H67" i="9" s="1"/>
  <c r="G65" i="9"/>
  <c r="G67" i="9" s="1"/>
  <c r="J65" i="9"/>
  <c r="J67" i="9" s="1"/>
  <c r="C64" i="9"/>
  <c r="C53" i="10"/>
  <c r="I56" i="10"/>
  <c r="J56" i="10"/>
  <c r="W35" i="2"/>
  <c r="W34" i="2"/>
  <c r="J64" i="15" s="1"/>
  <c r="W33" i="2"/>
  <c r="W36" i="2"/>
  <c r="T32" i="2"/>
  <c r="R32" i="2"/>
  <c r="U32" i="2"/>
  <c r="V32" i="2"/>
  <c r="S32" i="2"/>
  <c r="A7" i="4"/>
  <c r="J7" i="4"/>
  <c r="J9" i="5"/>
  <c r="H5" i="4"/>
  <c r="J11" i="5"/>
  <c r="H7" i="4"/>
  <c r="L10" i="5"/>
  <c r="D12" i="8" s="1"/>
  <c r="J6" i="4"/>
  <c r="H9" i="5"/>
  <c r="F5" i="4"/>
  <c r="H10" i="5"/>
  <c r="F6" i="4"/>
  <c r="G9" i="5"/>
  <c r="E5" i="4"/>
  <c r="G11" i="5"/>
  <c r="E7" i="4"/>
  <c r="I10" i="5"/>
  <c r="G6" i="4"/>
  <c r="I9" i="5"/>
  <c r="G5" i="4"/>
  <c r="J10" i="5"/>
  <c r="H6" i="4"/>
  <c r="I11" i="5"/>
  <c r="G7" i="4"/>
  <c r="L9" i="5"/>
  <c r="C12" i="8" s="1"/>
  <c r="J5" i="4"/>
  <c r="H11" i="5"/>
  <c r="F7" i="4"/>
  <c r="G10" i="5"/>
  <c r="E6" i="4"/>
  <c r="K10" i="5"/>
  <c r="I6" i="4"/>
  <c r="K11" i="5"/>
  <c r="I7" i="4"/>
  <c r="K9" i="5"/>
  <c r="I5" i="4"/>
  <c r="D10" i="2"/>
  <c r="E10" i="2"/>
  <c r="F10" i="2"/>
  <c r="F8" i="2" a="1"/>
  <c r="F8" i="2" s="1"/>
  <c r="E76" i="15" s="1"/>
  <c r="E7" i="2" a="1"/>
  <c r="E7" i="2" s="1"/>
  <c r="D75" i="15" s="1"/>
  <c r="E8" i="2" a="1"/>
  <c r="E8" i="2" s="1"/>
  <c r="D76" i="15" s="1"/>
  <c r="F7" i="2" a="1"/>
  <c r="F7" i="2" s="1"/>
  <c r="E75" i="15" s="1"/>
  <c r="D7" i="2" a="1"/>
  <c r="D7" i="2" s="1"/>
  <c r="C75" i="15" s="1"/>
  <c r="C77" i="15" s="1"/>
  <c r="N11" i="2" l="1"/>
  <c r="A7" i="13"/>
  <c r="F4" i="2"/>
  <c r="E78" i="15" s="1"/>
  <c r="E4" i="2"/>
  <c r="D78" i="15" s="1"/>
  <c r="D4" i="2"/>
  <c r="C78" i="15" s="1"/>
  <c r="C79" i="15" s="1"/>
  <c r="L4" i="2"/>
  <c r="I4" i="2"/>
  <c r="H78" i="15" s="1"/>
  <c r="H79" i="15" s="1"/>
  <c r="H4" i="2"/>
  <c r="G78" i="15" s="1"/>
  <c r="G79" i="15" s="1"/>
  <c r="K4" i="2"/>
  <c r="J78" i="15" s="1"/>
  <c r="G4" i="2"/>
  <c r="F78" i="15" s="1"/>
  <c r="F79" i="15" s="1"/>
  <c r="J4" i="2"/>
  <c r="I78" i="15" s="1"/>
  <c r="I79" i="15" s="1"/>
  <c r="C9" i="10"/>
  <c r="J61" i="15"/>
  <c r="C10" i="15"/>
  <c r="E77" i="15"/>
  <c r="F10" i="15"/>
  <c r="J65" i="15"/>
  <c r="D77" i="15"/>
  <c r="J41" i="10"/>
  <c r="J60" i="15"/>
  <c r="J68" i="15" s="1"/>
  <c r="E52" i="10"/>
  <c r="F146" i="2"/>
  <c r="F144" i="5" s="1"/>
  <c r="F145" i="2"/>
  <c r="F143" i="5" s="1"/>
  <c r="F140" i="2"/>
  <c r="F138" i="5" s="1"/>
  <c r="F137" i="2"/>
  <c r="F135" i="5" s="1"/>
  <c r="F141" i="2"/>
  <c r="F139" i="5" s="1"/>
  <c r="F144" i="2"/>
  <c r="F142" i="5" s="1"/>
  <c r="F143" i="2"/>
  <c r="F141" i="5" s="1"/>
  <c r="F139" i="2"/>
  <c r="F137" i="5" s="1"/>
  <c r="F142" i="2"/>
  <c r="F140" i="5" s="1"/>
  <c r="F138" i="2"/>
  <c r="F136" i="5" s="1"/>
  <c r="D52" i="10"/>
  <c r="E143" i="2"/>
  <c r="E141" i="5" s="1"/>
  <c r="E139" i="2"/>
  <c r="E137" i="5" s="1"/>
  <c r="E145" i="2"/>
  <c r="E143" i="5" s="1"/>
  <c r="E142" i="2"/>
  <c r="E140" i="5" s="1"/>
  <c r="E141" i="2"/>
  <c r="E139" i="5" s="1"/>
  <c r="E138" i="2"/>
  <c r="E136" i="5" s="1"/>
  <c r="E137" i="2"/>
  <c r="E135" i="5" s="1"/>
  <c r="E146" i="2"/>
  <c r="E144" i="5" s="1"/>
  <c r="E140" i="2"/>
  <c r="E138" i="5" s="1"/>
  <c r="E144" i="2"/>
  <c r="E142" i="5" s="1"/>
  <c r="C52" i="10"/>
  <c r="C54" i="10" s="1"/>
  <c r="D141" i="2"/>
  <c r="D139" i="5" s="1"/>
  <c r="D146" i="2"/>
  <c r="D144" i="5" s="1"/>
  <c r="D140" i="2"/>
  <c r="D138" i="5" s="1"/>
  <c r="D139" i="2"/>
  <c r="D137" i="5" s="1"/>
  <c r="D145" i="2"/>
  <c r="D143" i="5" s="1"/>
  <c r="D137" i="2"/>
  <c r="D142" i="2"/>
  <c r="D140" i="5" s="1"/>
  <c r="D138" i="2"/>
  <c r="D136" i="5" s="1"/>
  <c r="D144" i="2"/>
  <c r="D143" i="2"/>
  <c r="D141" i="5" s="1"/>
  <c r="E64" i="9"/>
  <c r="E53" i="10"/>
  <c r="E54" i="10" s="1"/>
  <c r="D64" i="9"/>
  <c r="D53" i="10"/>
  <c r="C66" i="9"/>
  <c r="C55" i="10"/>
  <c r="E66" i="9"/>
  <c r="E55" i="10"/>
  <c r="E56" i="10" s="1"/>
  <c r="D66" i="9"/>
  <c r="D55" i="10"/>
  <c r="S33" i="2"/>
  <c r="S34" i="2"/>
  <c r="F64" i="15" s="1"/>
  <c r="J46" i="9"/>
  <c r="U34" i="2"/>
  <c r="H64" i="15" s="1"/>
  <c r="U33" i="2"/>
  <c r="C9" i="9"/>
  <c r="R35" i="2"/>
  <c r="R33" i="2"/>
  <c r="R34" i="2"/>
  <c r="E64" i="15" s="1"/>
  <c r="J42" i="10"/>
  <c r="J43" i="10" s="1"/>
  <c r="V34" i="2"/>
  <c r="V33" i="2"/>
  <c r="T36" i="2"/>
  <c r="T33" i="2"/>
  <c r="G60" i="15" s="1"/>
  <c r="T34" i="2"/>
  <c r="J51" i="9"/>
  <c r="J46" i="10"/>
  <c r="F9" i="10"/>
  <c r="J50" i="9"/>
  <c r="J45" i="10"/>
  <c r="W38" i="2"/>
  <c r="D10" i="15" s="1"/>
  <c r="J45" i="9"/>
  <c r="V36" i="2"/>
  <c r="I65" i="15" s="1"/>
  <c r="T35" i="2"/>
  <c r="W39" i="2"/>
  <c r="G10" i="15" s="1"/>
  <c r="F9" i="9"/>
  <c r="U36" i="2"/>
  <c r="H65" i="15" s="1"/>
  <c r="S36" i="2"/>
  <c r="F65" i="15" s="1"/>
  <c r="R36" i="2"/>
  <c r="E65" i="15" s="1"/>
  <c r="S35" i="2"/>
  <c r="F61" i="15" s="1"/>
  <c r="U35" i="2"/>
  <c r="H61" i="15" s="1"/>
  <c r="V35" i="2"/>
  <c r="I61" i="15" s="1"/>
  <c r="W37" i="2"/>
  <c r="P31" i="2"/>
  <c r="D63" i="9"/>
  <c r="D65" i="9" s="1"/>
  <c r="D67" i="9" s="1"/>
  <c r="O31" i="2"/>
  <c r="C63" i="9"/>
  <c r="C65" i="9" s="1"/>
  <c r="C67" i="9" s="1"/>
  <c r="Q31" i="2"/>
  <c r="E63" i="9"/>
  <c r="E65" i="9" s="1"/>
  <c r="E67" i="9" s="1"/>
  <c r="E118" i="2"/>
  <c r="E124" i="2"/>
  <c r="E130" i="2"/>
  <c r="E136" i="2"/>
  <c r="E127" i="2"/>
  <c r="E122" i="2"/>
  <c r="E134" i="2"/>
  <c r="E119" i="2"/>
  <c r="E125" i="2"/>
  <c r="E131" i="2"/>
  <c r="E120" i="2"/>
  <c r="E126" i="2"/>
  <c r="E132" i="2"/>
  <c r="E123" i="2"/>
  <c r="E129" i="2"/>
  <c r="E135" i="2"/>
  <c r="E121" i="2"/>
  <c r="E133" i="2"/>
  <c r="E128" i="2"/>
  <c r="A8" i="4"/>
  <c r="K14" i="2"/>
  <c r="I14" i="2"/>
  <c r="H14" i="2"/>
  <c r="G14" i="2"/>
  <c r="L14" i="2"/>
  <c r="J14" i="2"/>
  <c r="E15" i="2"/>
  <c r="E14" i="2"/>
  <c r="E13" i="2"/>
  <c r="E12" i="2"/>
  <c r="E11" i="2"/>
  <c r="D9" i="2"/>
  <c r="D3" i="2" s="1"/>
  <c r="L55" i="15" s="1"/>
  <c r="D14" i="2"/>
  <c r="D13" i="2"/>
  <c r="D12" i="2"/>
  <c r="D11" i="2"/>
  <c r="D15" i="2"/>
  <c r="F13" i="2"/>
  <c r="F12" i="2"/>
  <c r="F11" i="2"/>
  <c r="F14" i="2"/>
  <c r="F15" i="2"/>
  <c r="E9" i="2"/>
  <c r="E3" i="2" s="1"/>
  <c r="L54" i="15" s="1"/>
  <c r="F9" i="2"/>
  <c r="F3" i="2" s="1"/>
  <c r="L53" i="15" s="1"/>
  <c r="N12" i="2" l="1"/>
  <c r="A8" i="13"/>
  <c r="J79" i="15"/>
  <c r="S13" i="19"/>
  <c r="E79" i="15"/>
  <c r="D79" i="15"/>
  <c r="I69" i="15"/>
  <c r="E41" i="10"/>
  <c r="E60" i="15"/>
  <c r="E68" i="15" s="1"/>
  <c r="H69" i="15"/>
  <c r="G51" i="9"/>
  <c r="G65" i="15"/>
  <c r="E42" i="10"/>
  <c r="E61" i="15"/>
  <c r="F45" i="9"/>
  <c r="F60" i="15"/>
  <c r="F68" i="15" s="1"/>
  <c r="F69" i="15"/>
  <c r="G42" i="10"/>
  <c r="G61" i="15"/>
  <c r="I45" i="9"/>
  <c r="I60" i="15"/>
  <c r="I45" i="10"/>
  <c r="I64" i="15"/>
  <c r="H41" i="10"/>
  <c r="H60" i="15"/>
  <c r="H68" i="15" s="1"/>
  <c r="J69" i="15"/>
  <c r="H9" i="9"/>
  <c r="H10" i="15"/>
  <c r="G45" i="10"/>
  <c r="G64" i="15"/>
  <c r="G68" i="15" s="1"/>
  <c r="F41" i="10"/>
  <c r="D135" i="5"/>
  <c r="D142" i="5"/>
  <c r="D54" i="10"/>
  <c r="D56" i="10" s="1"/>
  <c r="C56" i="10"/>
  <c r="E46" i="9"/>
  <c r="J47" i="10"/>
  <c r="I41" i="10"/>
  <c r="H45" i="9"/>
  <c r="G46" i="10"/>
  <c r="J53" i="9"/>
  <c r="J56" i="9"/>
  <c r="J48" i="9"/>
  <c r="J55" i="9"/>
  <c r="E50" i="9"/>
  <c r="E45" i="10"/>
  <c r="H46" i="9"/>
  <c r="H42" i="10"/>
  <c r="H51" i="9"/>
  <c r="H46" i="10"/>
  <c r="I51" i="9"/>
  <c r="I46" i="10"/>
  <c r="H50" i="9"/>
  <c r="H45" i="10"/>
  <c r="I46" i="9"/>
  <c r="I42" i="10"/>
  <c r="F46" i="9"/>
  <c r="F42" i="10"/>
  <c r="E51" i="9"/>
  <c r="E46" i="10"/>
  <c r="D9" i="9"/>
  <c r="D9" i="10"/>
  <c r="F50" i="9"/>
  <c r="F45" i="10"/>
  <c r="F51" i="9"/>
  <c r="F46" i="10"/>
  <c r="G9" i="9"/>
  <c r="G9" i="10"/>
  <c r="G45" i="9"/>
  <c r="G41" i="10"/>
  <c r="T38" i="2"/>
  <c r="G46" i="9"/>
  <c r="R38" i="2"/>
  <c r="E45" i="9"/>
  <c r="V39" i="2"/>
  <c r="I50" i="9"/>
  <c r="T39" i="2"/>
  <c r="G50" i="9"/>
  <c r="T37" i="2"/>
  <c r="U39" i="2"/>
  <c r="U37" i="2"/>
  <c r="U38" i="2"/>
  <c r="R39" i="2"/>
  <c r="S38" i="2"/>
  <c r="S37" i="2"/>
  <c r="S39" i="2"/>
  <c r="R37" i="2"/>
  <c r="V37" i="2"/>
  <c r="V38" i="2"/>
  <c r="Q32" i="2"/>
  <c r="O32" i="2"/>
  <c r="P32" i="2"/>
  <c r="G12" i="5"/>
  <c r="E8" i="4"/>
  <c r="H12" i="5"/>
  <c r="F8" i="4"/>
  <c r="I12" i="5"/>
  <c r="G8" i="4"/>
  <c r="K12" i="5"/>
  <c r="I8" i="4"/>
  <c r="H8" i="4"/>
  <c r="J12" i="5"/>
  <c r="L12" i="5"/>
  <c r="F12" i="8" s="1"/>
  <c r="J8" i="4"/>
  <c r="A9" i="4"/>
  <c r="I15" i="2"/>
  <c r="K15" i="2"/>
  <c r="J15" i="2"/>
  <c r="H15" i="2"/>
  <c r="G15" i="2"/>
  <c r="L15" i="2"/>
  <c r="F12" i="5"/>
  <c r="D8" i="4"/>
  <c r="F9" i="5"/>
  <c r="D5" i="4"/>
  <c r="F11" i="5"/>
  <c r="D7" i="4"/>
  <c r="D10" i="5"/>
  <c r="B6" i="4"/>
  <c r="D12" i="5"/>
  <c r="B8" i="4"/>
  <c r="E11" i="5"/>
  <c r="C7" i="4"/>
  <c r="E13" i="5"/>
  <c r="C9" i="4"/>
  <c r="D13" i="5"/>
  <c r="B9" i="4"/>
  <c r="F13" i="5"/>
  <c r="D9" i="4"/>
  <c r="F10" i="5"/>
  <c r="D6" i="4"/>
  <c r="D9" i="5"/>
  <c r="B5" i="4"/>
  <c r="D11" i="5"/>
  <c r="B7" i="4"/>
  <c r="E10" i="5"/>
  <c r="C6" i="4"/>
  <c r="E12" i="5"/>
  <c r="C8" i="4"/>
  <c r="E9" i="5"/>
  <c r="C5" i="4"/>
  <c r="G43" i="10" l="1"/>
  <c r="G44" i="10" s="1"/>
  <c r="G53" i="9"/>
  <c r="N13" i="2"/>
  <c r="A9" i="13"/>
  <c r="M66" i="15"/>
  <c r="N66" i="15" s="1"/>
  <c r="H43" i="10"/>
  <c r="H44" i="10" s="1"/>
  <c r="E43" i="10"/>
  <c r="E44" i="10" s="1"/>
  <c r="F43" i="10"/>
  <c r="F44" i="10" s="1"/>
  <c r="M72" i="15"/>
  <c r="N72" i="15" s="1"/>
  <c r="M68" i="15"/>
  <c r="N68" i="15" s="1"/>
  <c r="M69" i="15"/>
  <c r="N69" i="15" s="1"/>
  <c r="M67" i="15"/>
  <c r="N67" i="15" s="1"/>
  <c r="M71" i="15"/>
  <c r="N71" i="15" s="1"/>
  <c r="M65" i="15"/>
  <c r="N65" i="15" s="1"/>
  <c r="M70" i="15"/>
  <c r="N70" i="15" s="1"/>
  <c r="I47" i="10"/>
  <c r="I48" i="10" s="1"/>
  <c r="G69" i="15"/>
  <c r="G47" i="10"/>
  <c r="G48" i="10" s="1"/>
  <c r="E69" i="15"/>
  <c r="I68" i="15"/>
  <c r="I43" i="10"/>
  <c r="I44" i="10" s="1"/>
  <c r="I53" i="9"/>
  <c r="I54" i="9" s="1"/>
  <c r="H53" i="9"/>
  <c r="H54" i="9" s="1"/>
  <c r="F53" i="9"/>
  <c r="F54" i="9" s="1"/>
  <c r="E56" i="9"/>
  <c r="G56" i="9"/>
  <c r="G54" i="9"/>
  <c r="O34" i="2"/>
  <c r="O33" i="2"/>
  <c r="B60" i="15" s="1"/>
  <c r="F48" i="9"/>
  <c r="F49" i="9" s="1"/>
  <c r="F56" i="9"/>
  <c r="E53" i="9"/>
  <c r="E54" i="9" s="1"/>
  <c r="Q34" i="2"/>
  <c r="D64" i="15" s="1"/>
  <c r="Q33" i="2"/>
  <c r="H48" i="9"/>
  <c r="H49" i="9" s="1"/>
  <c r="H56" i="9"/>
  <c r="I48" i="9"/>
  <c r="I49" i="9" s="1"/>
  <c r="I56" i="9"/>
  <c r="J58" i="9"/>
  <c r="P34" i="2"/>
  <c r="C64" i="15" s="1"/>
  <c r="P33" i="2"/>
  <c r="E47" i="10"/>
  <c r="E48" i="10" s="1"/>
  <c r="H47" i="10"/>
  <c r="H48" i="10" s="1"/>
  <c r="G55" i="9"/>
  <c r="H55" i="9"/>
  <c r="F47" i="10"/>
  <c r="F48" i="10" s="1"/>
  <c r="F55" i="9"/>
  <c r="I55" i="9"/>
  <c r="E48" i="9"/>
  <c r="E49" i="9" s="1"/>
  <c r="E55" i="9"/>
  <c r="G48" i="9"/>
  <c r="G49" i="9" s="1"/>
  <c r="O36" i="2"/>
  <c r="Q36" i="2"/>
  <c r="D65" i="15" s="1"/>
  <c r="Q35" i="2"/>
  <c r="D61" i="15" s="1"/>
  <c r="O35" i="2"/>
  <c r="B61" i="15" s="1"/>
  <c r="P36" i="2"/>
  <c r="C65" i="15" s="1"/>
  <c r="P35" i="2"/>
  <c r="C61" i="15" s="1"/>
  <c r="H13" i="5"/>
  <c r="F9" i="4"/>
  <c r="J13" i="5"/>
  <c r="H9" i="4"/>
  <c r="I9" i="4"/>
  <c r="K13" i="5"/>
  <c r="I13" i="5"/>
  <c r="G9" i="4"/>
  <c r="L13" i="5"/>
  <c r="G12" i="8" s="1"/>
  <c r="J9" i="4"/>
  <c r="G13" i="5"/>
  <c r="E9" i="4"/>
  <c r="A10" i="4"/>
  <c r="K16" i="2"/>
  <c r="I16" i="2"/>
  <c r="G16" i="2"/>
  <c r="J16" i="2"/>
  <c r="H16" i="2"/>
  <c r="L16" i="2"/>
  <c r="E16" i="2"/>
  <c r="F16" i="2"/>
  <c r="D16" i="2"/>
  <c r="N14" i="2" l="1"/>
  <c r="A10" i="13"/>
  <c r="E62" i="15"/>
  <c r="G62" i="15"/>
  <c r="B62" i="15"/>
  <c r="L62" i="15" s="1"/>
  <c r="J62" i="15"/>
  <c r="H62" i="15"/>
  <c r="F62" i="15"/>
  <c r="I62" i="15"/>
  <c r="B46" i="10"/>
  <c r="B65" i="15"/>
  <c r="C66" i="15" s="1"/>
  <c r="D69" i="15"/>
  <c r="C45" i="9"/>
  <c r="C60" i="15"/>
  <c r="C68" i="15" s="1"/>
  <c r="D45" i="9"/>
  <c r="D60" i="15"/>
  <c r="D68" i="15" s="1"/>
  <c r="B45" i="10"/>
  <c r="B64" i="15"/>
  <c r="B68" i="15" s="1"/>
  <c r="C69" i="15"/>
  <c r="B50" i="9"/>
  <c r="E58" i="9"/>
  <c r="E59" i="9" s="1"/>
  <c r="G58" i="9"/>
  <c r="G59" i="9" s="1"/>
  <c r="C41" i="10"/>
  <c r="D41" i="10"/>
  <c r="I58" i="9"/>
  <c r="I59" i="9" s="1"/>
  <c r="H58" i="9"/>
  <c r="H59" i="9" s="1"/>
  <c r="F58" i="9"/>
  <c r="F59" i="9" s="1"/>
  <c r="D51" i="9"/>
  <c r="D46" i="10"/>
  <c r="C46" i="9"/>
  <c r="C42" i="10"/>
  <c r="C50" i="9"/>
  <c r="C45" i="10"/>
  <c r="B45" i="9"/>
  <c r="B41" i="10"/>
  <c r="C51" i="9"/>
  <c r="C46" i="10"/>
  <c r="D50" i="9"/>
  <c r="D45" i="10"/>
  <c r="D46" i="9"/>
  <c r="D42" i="10"/>
  <c r="B46" i="9"/>
  <c r="B42" i="10"/>
  <c r="O39" i="2"/>
  <c r="B51" i="9"/>
  <c r="Q39" i="2"/>
  <c r="P39" i="2"/>
  <c r="O37" i="2"/>
  <c r="O38" i="2"/>
  <c r="Q37" i="2"/>
  <c r="Q38" i="2"/>
  <c r="P37" i="2"/>
  <c r="P38" i="2"/>
  <c r="F14" i="5"/>
  <c r="D10" i="4"/>
  <c r="G10" i="4"/>
  <c r="I14" i="5"/>
  <c r="K14" i="5"/>
  <c r="I10" i="4"/>
  <c r="L14" i="5"/>
  <c r="H12" i="8" s="1"/>
  <c r="J10" i="4"/>
  <c r="H14" i="5"/>
  <c r="F10" i="4"/>
  <c r="A11" i="4"/>
  <c r="K17" i="2"/>
  <c r="V7" i="2" s="1"/>
  <c r="H17" i="2"/>
  <c r="I17" i="2"/>
  <c r="T7" i="2" s="1"/>
  <c r="H144" i="15" s="1"/>
  <c r="O18" i="19" s="1"/>
  <c r="G17" i="2"/>
  <c r="J17" i="2"/>
  <c r="U7" i="2" s="1"/>
  <c r="L17" i="2"/>
  <c r="M82" i="15" s="1"/>
  <c r="E17" i="2"/>
  <c r="P7" i="2" s="1"/>
  <c r="D17" i="2"/>
  <c r="O7" i="2" s="1"/>
  <c r="F17" i="2"/>
  <c r="E14" i="5"/>
  <c r="C10" i="4"/>
  <c r="J14" i="5"/>
  <c r="H10" i="4"/>
  <c r="D14" i="5"/>
  <c r="B10" i="4"/>
  <c r="E10" i="4"/>
  <c r="G14" i="5"/>
  <c r="N15" i="2" l="1"/>
  <c r="A11" i="13"/>
  <c r="B47" i="10"/>
  <c r="B48" i="10" s="1"/>
  <c r="P4" i="13"/>
  <c r="Q21" i="13" s="1"/>
  <c r="J144" i="15"/>
  <c r="S18" i="19" s="1"/>
  <c r="C144" i="15"/>
  <c r="N4" i="13"/>
  <c r="O4" i="13" s="1"/>
  <c r="I144" i="15"/>
  <c r="D4" i="13"/>
  <c r="E19" i="13" s="1"/>
  <c r="D144" i="15"/>
  <c r="G18" i="19" s="1"/>
  <c r="D43" i="10"/>
  <c r="D44" i="10" s="1"/>
  <c r="B55" i="9"/>
  <c r="B4" i="13"/>
  <c r="C4" i="13" s="1"/>
  <c r="D55" i="9"/>
  <c r="B69" i="15"/>
  <c r="G70" i="15" s="1"/>
  <c r="D66" i="15"/>
  <c r="B66" i="15"/>
  <c r="J66" i="15"/>
  <c r="H66" i="15"/>
  <c r="E66" i="15"/>
  <c r="F66" i="15"/>
  <c r="I66" i="15"/>
  <c r="G66" i="15"/>
  <c r="D62" i="15"/>
  <c r="D63" i="15" s="1"/>
  <c r="C62" i="15"/>
  <c r="C63" i="15" s="1"/>
  <c r="G63" i="15"/>
  <c r="F63" i="15"/>
  <c r="E63" i="15"/>
  <c r="I63" i="15"/>
  <c r="H63" i="15"/>
  <c r="B63" i="15"/>
  <c r="L4" i="13"/>
  <c r="M19" i="13" s="1"/>
  <c r="V19" i="13" s="1"/>
  <c r="C83" i="15"/>
  <c r="Z7" i="2"/>
  <c r="C43" i="10"/>
  <c r="C44" i="10" s="1"/>
  <c r="Q20" i="13"/>
  <c r="Q18" i="13"/>
  <c r="O23" i="13"/>
  <c r="O22" i="13"/>
  <c r="O18" i="13"/>
  <c r="C52" i="9"/>
  <c r="D52" i="9"/>
  <c r="C47" i="9"/>
  <c r="B47" i="9"/>
  <c r="E47" i="9"/>
  <c r="J47" i="9"/>
  <c r="F47" i="9"/>
  <c r="H47" i="9"/>
  <c r="G47" i="9"/>
  <c r="I47" i="9"/>
  <c r="B53" i="9"/>
  <c r="B54" i="9" s="1"/>
  <c r="B52" i="9"/>
  <c r="J52" i="9"/>
  <c r="G52" i="9"/>
  <c r="F52" i="9"/>
  <c r="H52" i="9"/>
  <c r="I52" i="9"/>
  <c r="E52" i="9"/>
  <c r="D47" i="9"/>
  <c r="D53" i="9"/>
  <c r="D54" i="9" s="1"/>
  <c r="B48" i="9"/>
  <c r="B49" i="9" s="1"/>
  <c r="B56" i="9"/>
  <c r="C48" i="9"/>
  <c r="C49" i="9" s="1"/>
  <c r="C56" i="9"/>
  <c r="D48" i="9"/>
  <c r="D49" i="9" s="1"/>
  <c r="D56" i="9"/>
  <c r="C53" i="9"/>
  <c r="C54" i="9" s="1"/>
  <c r="C55" i="9"/>
  <c r="C47" i="10"/>
  <c r="C48" i="10" s="1"/>
  <c r="B43" i="10"/>
  <c r="B44" i="10" s="1"/>
  <c r="D47" i="10"/>
  <c r="D48" i="10" s="1"/>
  <c r="G15" i="5"/>
  <c r="E11" i="4"/>
  <c r="F15" i="5"/>
  <c r="D11" i="4"/>
  <c r="G11" i="4"/>
  <c r="I15" i="5"/>
  <c r="W7" i="2"/>
  <c r="D15" i="5"/>
  <c r="B11" i="4"/>
  <c r="H15" i="5"/>
  <c r="F11" i="4"/>
  <c r="S7" i="2"/>
  <c r="E15" i="5"/>
  <c r="C11" i="4"/>
  <c r="K15" i="5"/>
  <c r="I11" i="4"/>
  <c r="Q7" i="2"/>
  <c r="L15" i="5"/>
  <c r="I12" i="8" s="1"/>
  <c r="J11" i="4"/>
  <c r="J15" i="5"/>
  <c r="H11" i="4"/>
  <c r="A12" i="4"/>
  <c r="I18" i="2"/>
  <c r="G18" i="2"/>
  <c r="K18" i="2"/>
  <c r="H18" i="2"/>
  <c r="J18" i="2"/>
  <c r="L18" i="2"/>
  <c r="E18" i="2"/>
  <c r="F18" i="2"/>
  <c r="D18" i="2"/>
  <c r="Q23" i="13" l="1"/>
  <c r="Q18" i="19"/>
  <c r="Q19" i="13"/>
  <c r="Q22" i="13"/>
  <c r="Q4" i="13"/>
  <c r="N16" i="2"/>
  <c r="A12" i="13"/>
  <c r="E18" i="19"/>
  <c r="E17" i="13"/>
  <c r="E21" i="13"/>
  <c r="E4" i="13"/>
  <c r="E22" i="13"/>
  <c r="E18" i="13"/>
  <c r="E20" i="13"/>
  <c r="E23" i="13"/>
  <c r="M21" i="13"/>
  <c r="V21" i="13" s="1"/>
  <c r="O20" i="13"/>
  <c r="O19" i="13"/>
  <c r="M20" i="13"/>
  <c r="V20" i="13" s="1"/>
  <c r="O21" i="13"/>
  <c r="F4" i="13"/>
  <c r="G22" i="13" s="1"/>
  <c r="E144" i="15"/>
  <c r="I18" i="19" s="1"/>
  <c r="J4" i="13"/>
  <c r="K19" i="13" s="1"/>
  <c r="G144" i="15"/>
  <c r="M18" i="19" s="1"/>
  <c r="I70" i="15"/>
  <c r="E70" i="15"/>
  <c r="C70" i="15"/>
  <c r="H70" i="15"/>
  <c r="F70" i="15"/>
  <c r="J70" i="15"/>
  <c r="D70" i="15"/>
  <c r="M4" i="13"/>
  <c r="V4" i="13" s="1"/>
  <c r="M18" i="13"/>
  <c r="V18" i="13" s="1"/>
  <c r="M22" i="13"/>
  <c r="V22" i="13" s="1"/>
  <c r="B70" i="15"/>
  <c r="M23" i="13"/>
  <c r="V23" i="13" s="1"/>
  <c r="H67" i="15"/>
  <c r="B67" i="15"/>
  <c r="D67" i="15"/>
  <c r="G67" i="15"/>
  <c r="F67" i="15"/>
  <c r="E67" i="15"/>
  <c r="I67" i="15"/>
  <c r="C67" i="15"/>
  <c r="S4" i="13"/>
  <c r="U4" i="13" s="1"/>
  <c r="AA7" i="2"/>
  <c r="C84" i="15"/>
  <c r="D58" i="9"/>
  <c r="D59" i="9" s="1"/>
  <c r="D57" i="9"/>
  <c r="C57" i="9"/>
  <c r="B58" i="9"/>
  <c r="B59" i="9" s="1"/>
  <c r="B57" i="9"/>
  <c r="J57" i="9"/>
  <c r="H57" i="9"/>
  <c r="I57" i="9"/>
  <c r="F57" i="9"/>
  <c r="G57" i="9"/>
  <c r="E57" i="9"/>
  <c r="C58" i="9"/>
  <c r="C59" i="9" s="1"/>
  <c r="F16" i="5"/>
  <c r="D12" i="4"/>
  <c r="J16" i="5"/>
  <c r="H12" i="4"/>
  <c r="A13" i="4"/>
  <c r="K19" i="2"/>
  <c r="H19" i="2"/>
  <c r="I19" i="2"/>
  <c r="J19" i="2"/>
  <c r="G19" i="2"/>
  <c r="L19" i="2"/>
  <c r="D19" i="2"/>
  <c r="E19" i="2"/>
  <c r="F19" i="2"/>
  <c r="H16" i="5"/>
  <c r="F12" i="4"/>
  <c r="K16" i="5"/>
  <c r="I12" i="4"/>
  <c r="G16" i="5"/>
  <c r="E12" i="4"/>
  <c r="D16" i="5"/>
  <c r="B12" i="4"/>
  <c r="E16" i="5"/>
  <c r="C12" i="4"/>
  <c r="I16" i="5"/>
  <c r="G12" i="4"/>
  <c r="L16" i="5"/>
  <c r="J12" i="8" s="1"/>
  <c r="J12" i="4"/>
  <c r="N17" i="2" l="1"/>
  <c r="A13" i="13"/>
  <c r="Y22" i="13"/>
  <c r="G23" i="13"/>
  <c r="Y23" i="13" s="1"/>
  <c r="K22" i="13"/>
  <c r="G21" i="13"/>
  <c r="Y21" i="13" s="1"/>
  <c r="K21" i="13"/>
  <c r="K4" i="13"/>
  <c r="G20" i="13"/>
  <c r="Y20" i="13" s="1"/>
  <c r="G19" i="13"/>
  <c r="Y19" i="13" s="1"/>
  <c r="K23" i="13"/>
  <c r="G4" i="13"/>
  <c r="Y4" i="13" s="1"/>
  <c r="K20" i="13"/>
  <c r="C71" i="15"/>
  <c r="B71" i="15"/>
  <c r="G71" i="15"/>
  <c r="I71" i="15"/>
  <c r="E71" i="15"/>
  <c r="F71" i="15"/>
  <c r="H71" i="15"/>
  <c r="D71" i="15"/>
  <c r="Z4" i="13"/>
  <c r="AB7" i="2"/>
  <c r="T4" i="13"/>
  <c r="X4" i="13"/>
  <c r="D17" i="5"/>
  <c r="B13" i="4"/>
  <c r="I13" i="4"/>
  <c r="K17" i="5"/>
  <c r="L17" i="5"/>
  <c r="K12" i="8" s="1"/>
  <c r="J13" i="4"/>
  <c r="G17" i="5"/>
  <c r="E13" i="4"/>
  <c r="A14" i="4"/>
  <c r="I20" i="2"/>
  <c r="G20" i="2"/>
  <c r="K20" i="2"/>
  <c r="J20" i="2"/>
  <c r="H20" i="2"/>
  <c r="L20" i="2"/>
  <c r="E20" i="2"/>
  <c r="D20" i="2"/>
  <c r="F20" i="2"/>
  <c r="J17" i="5"/>
  <c r="H13" i="4"/>
  <c r="F17" i="5"/>
  <c r="D13" i="4"/>
  <c r="I17" i="5"/>
  <c r="G13" i="4"/>
  <c r="E17" i="5"/>
  <c r="C13" i="4"/>
  <c r="H17" i="5"/>
  <c r="F13" i="4"/>
  <c r="N18" i="2" l="1"/>
  <c r="A14" i="13"/>
  <c r="E18" i="5"/>
  <c r="C14" i="4"/>
  <c r="G14" i="4"/>
  <c r="I18" i="5"/>
  <c r="L18" i="5"/>
  <c r="L12" i="8" s="1"/>
  <c r="J14" i="4"/>
  <c r="H18" i="5"/>
  <c r="F14" i="4"/>
  <c r="A15" i="4"/>
  <c r="I21" i="2"/>
  <c r="K21" i="2"/>
  <c r="G21" i="2"/>
  <c r="H21" i="2"/>
  <c r="J21" i="2"/>
  <c r="L21" i="2"/>
  <c r="F21" i="2"/>
  <c r="E21" i="2"/>
  <c r="D21" i="2"/>
  <c r="H14" i="4"/>
  <c r="J18" i="5"/>
  <c r="K18" i="5"/>
  <c r="I14" i="4"/>
  <c r="F18" i="5"/>
  <c r="D14" i="4"/>
  <c r="D18" i="5"/>
  <c r="B14" i="4"/>
  <c r="G18" i="5"/>
  <c r="E14" i="4"/>
  <c r="N19" i="2" l="1"/>
  <c r="A15" i="13"/>
  <c r="L19" i="5"/>
  <c r="M12" i="8" s="1"/>
  <c r="J15" i="4"/>
  <c r="J19" i="5"/>
  <c r="H15" i="4"/>
  <c r="A16" i="4"/>
  <c r="I22" i="2"/>
  <c r="G22" i="2"/>
  <c r="H22" i="2"/>
  <c r="K22" i="2"/>
  <c r="J22" i="2"/>
  <c r="L22" i="2"/>
  <c r="E22" i="2"/>
  <c r="F22" i="2"/>
  <c r="D22" i="2"/>
  <c r="H19" i="5"/>
  <c r="F15" i="4"/>
  <c r="D19" i="5"/>
  <c r="B15" i="4"/>
  <c r="E15" i="4"/>
  <c r="G19" i="5"/>
  <c r="E19" i="5"/>
  <c r="C15" i="4"/>
  <c r="K19" i="5"/>
  <c r="I15" i="4"/>
  <c r="F19" i="5"/>
  <c r="D15" i="4"/>
  <c r="I19" i="5"/>
  <c r="G15" i="4"/>
  <c r="N20" i="2" l="1"/>
  <c r="A16" i="13"/>
  <c r="D20" i="5"/>
  <c r="B16" i="4"/>
  <c r="F16" i="4"/>
  <c r="H20" i="5"/>
  <c r="F20" i="5"/>
  <c r="D16" i="4"/>
  <c r="E16" i="4"/>
  <c r="G20" i="5"/>
  <c r="E20" i="5"/>
  <c r="C16" i="4"/>
  <c r="I20" i="5"/>
  <c r="G16" i="4"/>
  <c r="L20" i="5"/>
  <c r="N12" i="8" s="1"/>
  <c r="J16" i="4"/>
  <c r="J20" i="5"/>
  <c r="H16" i="4"/>
  <c r="A17" i="4"/>
  <c r="K23" i="2"/>
  <c r="J23" i="2"/>
  <c r="I23" i="2"/>
  <c r="G23" i="2"/>
  <c r="L23" i="2"/>
  <c r="H23" i="2"/>
  <c r="D23" i="2"/>
  <c r="F23" i="2"/>
  <c r="E23" i="2"/>
  <c r="K20" i="5"/>
  <c r="I16" i="4"/>
  <c r="N21" i="2" l="1"/>
  <c r="A17" i="13"/>
  <c r="E21" i="5"/>
  <c r="C17" i="4"/>
  <c r="G17" i="4"/>
  <c r="I21" i="5"/>
  <c r="H17" i="4"/>
  <c r="J21" i="5"/>
  <c r="I17" i="4"/>
  <c r="K21" i="5"/>
  <c r="F21" i="5"/>
  <c r="D17" i="4"/>
  <c r="H21" i="5"/>
  <c r="F17" i="4"/>
  <c r="J17" i="4"/>
  <c r="L21" i="5"/>
  <c r="O12" i="8" s="1"/>
  <c r="A18" i="4"/>
  <c r="K24" i="2"/>
  <c r="V8" i="2" s="1"/>
  <c r="G24" i="2"/>
  <c r="I24" i="2"/>
  <c r="H24" i="2"/>
  <c r="S8" i="2" s="1"/>
  <c r="J24" i="2"/>
  <c r="L24" i="2"/>
  <c r="E24" i="2"/>
  <c r="P8" i="2" s="1"/>
  <c r="F24" i="2"/>
  <c r="D24" i="2"/>
  <c r="D21" i="5"/>
  <c r="B17" i="4"/>
  <c r="E17" i="4"/>
  <c r="G21" i="5"/>
  <c r="N22" i="2" l="1"/>
  <c r="A18" i="13"/>
  <c r="P5" i="13"/>
  <c r="Q5" i="13" s="1"/>
  <c r="J145" i="15"/>
  <c r="S19" i="19" s="1"/>
  <c r="D5" i="13"/>
  <c r="E5" i="13" s="1"/>
  <c r="D145" i="15"/>
  <c r="G19" i="19" s="1"/>
  <c r="J5" i="13"/>
  <c r="K5" i="13" s="1"/>
  <c r="G145" i="15"/>
  <c r="M19" i="19" s="1"/>
  <c r="D22" i="5"/>
  <c r="B18" i="4"/>
  <c r="I22" i="5"/>
  <c r="G18" i="4"/>
  <c r="F22" i="5"/>
  <c r="D18" i="4"/>
  <c r="G22" i="5"/>
  <c r="E18" i="4"/>
  <c r="I18" i="4"/>
  <c r="K22" i="5"/>
  <c r="L22" i="5"/>
  <c r="P12" i="8" s="1"/>
  <c r="J18" i="4"/>
  <c r="J22" i="5"/>
  <c r="H18" i="4"/>
  <c r="A19" i="4"/>
  <c r="K25" i="2"/>
  <c r="H25" i="2"/>
  <c r="I25" i="2"/>
  <c r="G25" i="2"/>
  <c r="L25" i="2"/>
  <c r="J25" i="2"/>
  <c r="D25" i="2"/>
  <c r="E25" i="2"/>
  <c r="F25" i="2"/>
  <c r="E22" i="5"/>
  <c r="C18" i="4"/>
  <c r="F18" i="4"/>
  <c r="H22" i="5"/>
  <c r="N23" i="2" l="1"/>
  <c r="A19" i="13"/>
  <c r="K23" i="5"/>
  <c r="I19" i="4"/>
  <c r="J23" i="5"/>
  <c r="H19" i="4"/>
  <c r="L23" i="5"/>
  <c r="Q12" i="8" s="1"/>
  <c r="J19" i="4"/>
  <c r="A20" i="4"/>
  <c r="I26" i="2"/>
  <c r="G26" i="2"/>
  <c r="K26" i="2"/>
  <c r="J26" i="2"/>
  <c r="L26" i="2"/>
  <c r="H26" i="2"/>
  <c r="E26" i="2"/>
  <c r="D26" i="2"/>
  <c r="F26" i="2"/>
  <c r="G23" i="5"/>
  <c r="E19" i="4"/>
  <c r="D19" i="4"/>
  <c r="F23" i="5"/>
  <c r="I23" i="5"/>
  <c r="G19" i="4"/>
  <c r="D23" i="5"/>
  <c r="B19" i="4"/>
  <c r="E23" i="5"/>
  <c r="C19" i="4"/>
  <c r="H23" i="5"/>
  <c r="F19" i="4"/>
  <c r="N24" i="2" l="1"/>
  <c r="A20" i="13"/>
  <c r="B20" i="4"/>
  <c r="D24" i="5"/>
  <c r="E20" i="4"/>
  <c r="G24" i="5"/>
  <c r="E24" i="5"/>
  <c r="C20" i="4"/>
  <c r="I24" i="5"/>
  <c r="G20" i="4"/>
  <c r="H24" i="5"/>
  <c r="F20" i="4"/>
  <c r="J20" i="4"/>
  <c r="L24" i="5"/>
  <c r="R12" i="8" s="1"/>
  <c r="A21" i="4"/>
  <c r="I27" i="2"/>
  <c r="K27" i="2"/>
  <c r="G27" i="2"/>
  <c r="H27" i="2"/>
  <c r="L27" i="2"/>
  <c r="J27" i="2"/>
  <c r="D27" i="2"/>
  <c r="E27" i="2"/>
  <c r="F27" i="2"/>
  <c r="J24" i="5"/>
  <c r="H20" i="4"/>
  <c r="F24" i="5"/>
  <c r="D20" i="4"/>
  <c r="I20" i="4"/>
  <c r="K24" i="5"/>
  <c r="A21" i="13" l="1"/>
  <c r="N25" i="2"/>
  <c r="L25" i="5"/>
  <c r="S12" i="8" s="1"/>
  <c r="J21" i="4"/>
  <c r="A22" i="4"/>
  <c r="H28" i="2"/>
  <c r="L28" i="2"/>
  <c r="K28" i="2"/>
  <c r="I28" i="2"/>
  <c r="G28" i="2"/>
  <c r="J28" i="2"/>
  <c r="F28" i="2"/>
  <c r="D28" i="2"/>
  <c r="E28" i="2"/>
  <c r="F21" i="4"/>
  <c r="H25" i="5"/>
  <c r="F25" i="5"/>
  <c r="D21" i="4"/>
  <c r="G25" i="5"/>
  <c r="E21" i="4"/>
  <c r="K25" i="5"/>
  <c r="I21" i="4"/>
  <c r="C21" i="4"/>
  <c r="E25" i="5"/>
  <c r="D25" i="5"/>
  <c r="B21" i="4"/>
  <c r="I25" i="5"/>
  <c r="G21" i="4"/>
  <c r="J25" i="5"/>
  <c r="H21" i="4"/>
  <c r="A22" i="13" l="1"/>
  <c r="N26" i="2"/>
  <c r="O25" i="2"/>
  <c r="L26" i="5"/>
  <c r="T12" i="8" s="1"/>
  <c r="J22" i="4"/>
  <c r="F26" i="5"/>
  <c r="D22" i="4"/>
  <c r="H26" i="5"/>
  <c r="F22" i="4"/>
  <c r="J26" i="5"/>
  <c r="H22" i="4"/>
  <c r="D26" i="5"/>
  <c r="B22" i="4"/>
  <c r="G26" i="5"/>
  <c r="E22" i="4"/>
  <c r="A23" i="4"/>
  <c r="K29" i="2"/>
  <c r="I29" i="2"/>
  <c r="H29" i="2"/>
  <c r="G29" i="2"/>
  <c r="J29" i="2"/>
  <c r="L29" i="2"/>
  <c r="F29" i="2"/>
  <c r="E29" i="2"/>
  <c r="D29" i="2"/>
  <c r="G22" i="4"/>
  <c r="I26" i="5"/>
  <c r="E26" i="5"/>
  <c r="C22" i="4"/>
  <c r="K26" i="5"/>
  <c r="I22" i="4"/>
  <c r="B22" i="13" l="1"/>
  <c r="C22" i="13" s="1"/>
  <c r="C162" i="15"/>
  <c r="A23" i="13"/>
  <c r="O26" i="2"/>
  <c r="D27" i="5"/>
  <c r="B23" i="4"/>
  <c r="H27" i="5"/>
  <c r="F23" i="4"/>
  <c r="E27" i="5"/>
  <c r="C23" i="4"/>
  <c r="I27" i="5"/>
  <c r="G23" i="4"/>
  <c r="K27" i="5"/>
  <c r="I23" i="4"/>
  <c r="L27" i="5"/>
  <c r="J23" i="4"/>
  <c r="J27" i="5"/>
  <c r="H23" i="4"/>
  <c r="A24" i="4"/>
  <c r="G30" i="2"/>
  <c r="I30" i="2"/>
  <c r="K30" i="2"/>
  <c r="H30" i="2"/>
  <c r="J30" i="2"/>
  <c r="L30" i="2"/>
  <c r="D30" i="2"/>
  <c r="F30" i="2"/>
  <c r="E30" i="2"/>
  <c r="F27" i="5"/>
  <c r="D23" i="4"/>
  <c r="E23" i="4"/>
  <c r="G27" i="5"/>
  <c r="C163" i="15" l="1"/>
  <c r="C169" i="15" s="1"/>
  <c r="B23" i="13"/>
  <c r="C23" i="13" s="1"/>
  <c r="H7" i="10"/>
  <c r="I7" i="10" s="1"/>
  <c r="J7" i="10" s="1"/>
  <c r="H8" i="10"/>
  <c r="I8" i="10" s="1"/>
  <c r="D4" i="10"/>
  <c r="U12" i="8"/>
  <c r="E28" i="5"/>
  <c r="C24" i="4"/>
  <c r="K28" i="5"/>
  <c r="I24" i="4"/>
  <c r="D24" i="4"/>
  <c r="F28" i="5"/>
  <c r="G24" i="4"/>
  <c r="I28" i="5"/>
  <c r="D28" i="5"/>
  <c r="B24" i="4"/>
  <c r="G28" i="5"/>
  <c r="E24" i="4"/>
  <c r="L28" i="5"/>
  <c r="V12" i="8" s="1"/>
  <c r="J24" i="4"/>
  <c r="J28" i="5"/>
  <c r="H24" i="4"/>
  <c r="A25" i="4"/>
  <c r="K31" i="2"/>
  <c r="I31" i="2"/>
  <c r="H31" i="2"/>
  <c r="G31" i="2"/>
  <c r="L31" i="2"/>
  <c r="J31" i="2"/>
  <c r="E31" i="2"/>
  <c r="F31" i="2"/>
  <c r="D31" i="2"/>
  <c r="F24" i="4"/>
  <c r="H28" i="5"/>
  <c r="H9" i="10" l="1"/>
  <c r="L9" i="10"/>
  <c r="J14" i="10"/>
  <c r="J4" i="10"/>
  <c r="I9" i="10"/>
  <c r="B25" i="4"/>
  <c r="D29" i="5"/>
  <c r="H29" i="5"/>
  <c r="F25" i="4"/>
  <c r="F29" i="5"/>
  <c r="D25" i="4"/>
  <c r="G25" i="4"/>
  <c r="I29" i="5"/>
  <c r="E29" i="5"/>
  <c r="C25" i="4"/>
  <c r="K29" i="5"/>
  <c r="I25" i="4"/>
  <c r="T9" i="2"/>
  <c r="H146" i="15" s="1"/>
  <c r="O20" i="19" s="1"/>
  <c r="H25" i="4"/>
  <c r="J29" i="5"/>
  <c r="L29" i="5"/>
  <c r="W12" i="8" s="1"/>
  <c r="J25" i="4"/>
  <c r="A26" i="4"/>
  <c r="I32" i="2"/>
  <c r="G32" i="2"/>
  <c r="J32" i="2"/>
  <c r="H32" i="2"/>
  <c r="K32" i="2"/>
  <c r="L32" i="2"/>
  <c r="F32" i="2"/>
  <c r="D32" i="2"/>
  <c r="E32" i="2"/>
  <c r="G29" i="5"/>
  <c r="E25" i="4"/>
  <c r="R9" i="2"/>
  <c r="H6" i="13" l="1"/>
  <c r="F146" i="15"/>
  <c r="K20" i="19" s="1"/>
  <c r="L6" i="13"/>
  <c r="M6" i="13" s="1"/>
  <c r="V6" i="13" s="1"/>
  <c r="X6" i="13" s="1"/>
  <c r="Z9" i="2"/>
  <c r="E83" i="15"/>
  <c r="E84" i="15" s="1"/>
  <c r="H30" i="5"/>
  <c r="F26" i="4"/>
  <c r="C26" i="4"/>
  <c r="E30" i="5"/>
  <c r="J30" i="5"/>
  <c r="H26" i="4"/>
  <c r="D30" i="5"/>
  <c r="B26" i="4"/>
  <c r="G30" i="5"/>
  <c r="E26" i="4"/>
  <c r="F30" i="5"/>
  <c r="D26" i="4"/>
  <c r="I30" i="5"/>
  <c r="G26" i="4"/>
  <c r="L30" i="5"/>
  <c r="X12" i="8" s="1"/>
  <c r="J26" i="4"/>
  <c r="I26" i="4"/>
  <c r="K30" i="5"/>
  <c r="A27" i="4"/>
  <c r="K33" i="2"/>
  <c r="I33" i="2"/>
  <c r="H33" i="2"/>
  <c r="G33" i="2"/>
  <c r="J33" i="2"/>
  <c r="L33" i="2"/>
  <c r="E33" i="2"/>
  <c r="D33" i="2"/>
  <c r="F33" i="2"/>
  <c r="D31" i="5" l="1"/>
  <c r="B27" i="4"/>
  <c r="I31" i="5"/>
  <c r="G27" i="4"/>
  <c r="E31" i="5"/>
  <c r="C27" i="4"/>
  <c r="K31" i="5"/>
  <c r="I27" i="4"/>
  <c r="L31" i="5"/>
  <c r="Y12" i="8" s="1"/>
  <c r="J27" i="4"/>
  <c r="J31" i="5"/>
  <c r="H27" i="4"/>
  <c r="A28" i="4"/>
  <c r="I34" i="2"/>
  <c r="J34" i="2"/>
  <c r="G34" i="2"/>
  <c r="K34" i="2"/>
  <c r="L34" i="2"/>
  <c r="H34" i="2"/>
  <c r="D34" i="2"/>
  <c r="F34" i="2"/>
  <c r="E34" i="2"/>
  <c r="G31" i="5"/>
  <c r="E27" i="4"/>
  <c r="D27" i="4"/>
  <c r="F31" i="5"/>
  <c r="H31" i="5"/>
  <c r="F27" i="4"/>
  <c r="H32" i="5" l="1"/>
  <c r="F28" i="4"/>
  <c r="L32" i="5"/>
  <c r="Z12" i="8" s="1"/>
  <c r="J28" i="4"/>
  <c r="A29" i="4"/>
  <c r="I35" i="2"/>
  <c r="G35" i="2"/>
  <c r="K35" i="2"/>
  <c r="H35" i="2"/>
  <c r="L35" i="2"/>
  <c r="J35" i="2"/>
  <c r="F35" i="2"/>
  <c r="E35" i="2"/>
  <c r="D35" i="2"/>
  <c r="K32" i="5"/>
  <c r="I28" i="4"/>
  <c r="E32" i="5"/>
  <c r="C28" i="4"/>
  <c r="E28" i="4"/>
  <c r="G32" i="5"/>
  <c r="F32" i="5"/>
  <c r="D28" i="4"/>
  <c r="H28" i="4"/>
  <c r="J32" i="5"/>
  <c r="D32" i="5"/>
  <c r="B28" i="4"/>
  <c r="I32" i="5"/>
  <c r="G28" i="4"/>
  <c r="L33" i="5" l="1"/>
  <c r="AA12" i="8" s="1"/>
  <c r="J29" i="4"/>
  <c r="A30" i="4"/>
  <c r="I36" i="2"/>
  <c r="H36" i="2"/>
  <c r="K36" i="2"/>
  <c r="J36" i="2"/>
  <c r="G36" i="2"/>
  <c r="L36" i="2"/>
  <c r="D36" i="2"/>
  <c r="E36" i="2"/>
  <c r="F36" i="2"/>
  <c r="H33" i="5"/>
  <c r="F29" i="4"/>
  <c r="D33" i="5"/>
  <c r="B29" i="4"/>
  <c r="K33" i="5"/>
  <c r="I29" i="4"/>
  <c r="E33" i="5"/>
  <c r="C29" i="4"/>
  <c r="G33" i="5"/>
  <c r="E29" i="4"/>
  <c r="F33" i="5"/>
  <c r="D29" i="4"/>
  <c r="I33" i="5"/>
  <c r="G29" i="4"/>
  <c r="J33" i="5"/>
  <c r="H29" i="4"/>
  <c r="D34" i="5" l="1"/>
  <c r="B30" i="4"/>
  <c r="G30" i="4"/>
  <c r="I34" i="5"/>
  <c r="J30" i="4"/>
  <c r="L34" i="5"/>
  <c r="G34" i="5"/>
  <c r="E30" i="4"/>
  <c r="A31" i="4"/>
  <c r="G37" i="2"/>
  <c r="I37" i="2"/>
  <c r="K37" i="2"/>
  <c r="J37" i="2"/>
  <c r="H37" i="2"/>
  <c r="L37" i="2"/>
  <c r="E37" i="2"/>
  <c r="F37" i="2"/>
  <c r="D37" i="2"/>
  <c r="J34" i="5"/>
  <c r="H30" i="4"/>
  <c r="F34" i="5"/>
  <c r="D30" i="4"/>
  <c r="K34" i="5"/>
  <c r="I30" i="4"/>
  <c r="E34" i="5"/>
  <c r="C30" i="4"/>
  <c r="H34" i="5"/>
  <c r="F30" i="4"/>
  <c r="AB12" i="8" l="1"/>
  <c r="J31" i="4"/>
  <c r="L35" i="5"/>
  <c r="AC12" i="8" s="1"/>
  <c r="H35" i="5"/>
  <c r="F31" i="4"/>
  <c r="A32" i="4"/>
  <c r="K38" i="2"/>
  <c r="V10" i="2" s="1"/>
  <c r="H38" i="2"/>
  <c r="S10" i="2" s="1"/>
  <c r="I38" i="2"/>
  <c r="T10" i="2" s="1"/>
  <c r="H147" i="15" s="1"/>
  <c r="O21" i="19" s="1"/>
  <c r="J38" i="2"/>
  <c r="G38" i="2"/>
  <c r="L38" i="2"/>
  <c r="D38" i="2"/>
  <c r="F38" i="2"/>
  <c r="E38" i="2"/>
  <c r="H31" i="4"/>
  <c r="J35" i="5"/>
  <c r="K35" i="5"/>
  <c r="I31" i="4"/>
  <c r="F35" i="5"/>
  <c r="D31" i="4"/>
  <c r="I35" i="5"/>
  <c r="G31" i="4"/>
  <c r="D35" i="5"/>
  <c r="B31" i="4"/>
  <c r="E35" i="5"/>
  <c r="C31" i="4"/>
  <c r="G35" i="5"/>
  <c r="E31" i="4"/>
  <c r="J7" i="13" l="1"/>
  <c r="K7" i="13" s="1"/>
  <c r="G147" i="15"/>
  <c r="M21" i="19" s="1"/>
  <c r="P7" i="13"/>
  <c r="Q7" i="13" s="1"/>
  <c r="J147" i="15"/>
  <c r="S21" i="19" s="1"/>
  <c r="L7" i="13"/>
  <c r="M7" i="13" s="1"/>
  <c r="V7" i="13" s="1"/>
  <c r="W7" i="13" s="1"/>
  <c r="Z10" i="2"/>
  <c r="AA10" i="2" s="1"/>
  <c r="AB10" i="2" s="1"/>
  <c r="F83" i="15"/>
  <c r="F84" i="15" s="1"/>
  <c r="J36" i="5"/>
  <c r="H32" i="4"/>
  <c r="E36" i="5"/>
  <c r="C32" i="4"/>
  <c r="I36" i="5"/>
  <c r="G32" i="4"/>
  <c r="F36" i="5"/>
  <c r="D32" i="4"/>
  <c r="H36" i="5"/>
  <c r="F32" i="4"/>
  <c r="D36" i="5"/>
  <c r="B32" i="4"/>
  <c r="K36" i="5"/>
  <c r="I32" i="4"/>
  <c r="L36" i="5"/>
  <c r="AD12" i="8" s="1"/>
  <c r="J32" i="4"/>
  <c r="U10" i="2"/>
  <c r="G36" i="5"/>
  <c r="E32" i="4"/>
  <c r="A33" i="4"/>
  <c r="I39" i="2"/>
  <c r="K39" i="2"/>
  <c r="H39" i="2"/>
  <c r="G39" i="2"/>
  <c r="J39" i="2"/>
  <c r="L39" i="2"/>
  <c r="F39" i="2"/>
  <c r="E39" i="2"/>
  <c r="D39" i="2"/>
  <c r="X7" i="13" l="1"/>
  <c r="N7" i="13"/>
  <c r="O7" i="13" s="1"/>
  <c r="I147" i="15"/>
  <c r="Q21" i="19" s="1"/>
  <c r="B33" i="4"/>
  <c r="D37" i="5"/>
  <c r="H37" i="5"/>
  <c r="F33" i="4"/>
  <c r="K37" i="5"/>
  <c r="I33" i="4"/>
  <c r="F37" i="5"/>
  <c r="D33" i="4"/>
  <c r="G33" i="4"/>
  <c r="I37" i="5"/>
  <c r="E37" i="5"/>
  <c r="C33" i="4"/>
  <c r="L37" i="5"/>
  <c r="AE12" i="8" s="1"/>
  <c r="J33" i="4"/>
  <c r="J37" i="5"/>
  <c r="H33" i="4"/>
  <c r="A34" i="4"/>
  <c r="I40" i="2"/>
  <c r="G40" i="2"/>
  <c r="K40" i="2"/>
  <c r="J40" i="2"/>
  <c r="H40" i="2"/>
  <c r="L40" i="2"/>
  <c r="D40" i="2"/>
  <c r="E40" i="2"/>
  <c r="F40" i="2"/>
  <c r="G37" i="5"/>
  <c r="E33" i="4"/>
  <c r="H38" i="5" l="1"/>
  <c r="F34" i="4"/>
  <c r="A35" i="4"/>
  <c r="I41" i="2"/>
  <c r="G41" i="2"/>
  <c r="K41" i="2"/>
  <c r="H41" i="2"/>
  <c r="J41" i="2"/>
  <c r="L41" i="2"/>
  <c r="F41" i="2"/>
  <c r="E41" i="2"/>
  <c r="D41" i="2"/>
  <c r="J38" i="5"/>
  <c r="H34" i="4"/>
  <c r="K38" i="5"/>
  <c r="I34" i="4"/>
  <c r="E38" i="5"/>
  <c r="C34" i="4"/>
  <c r="G38" i="5"/>
  <c r="E34" i="4"/>
  <c r="F38" i="5"/>
  <c r="D34" i="4"/>
  <c r="D38" i="5"/>
  <c r="B34" i="4"/>
  <c r="I38" i="5"/>
  <c r="G34" i="4"/>
  <c r="J34" i="4"/>
  <c r="L38" i="5"/>
  <c r="AF12" i="8" s="1"/>
  <c r="J39" i="5" l="1"/>
  <c r="H35" i="4"/>
  <c r="A36" i="4"/>
  <c r="K42" i="2"/>
  <c r="I42" i="2"/>
  <c r="H42" i="2"/>
  <c r="G42" i="2"/>
  <c r="L42" i="2"/>
  <c r="J42" i="2"/>
  <c r="D42" i="2"/>
  <c r="E42" i="2"/>
  <c r="F42" i="2"/>
  <c r="H39" i="5"/>
  <c r="F35" i="4"/>
  <c r="D39" i="5"/>
  <c r="B35" i="4"/>
  <c r="K39" i="5"/>
  <c r="I35" i="4"/>
  <c r="E39" i="5"/>
  <c r="C35" i="4"/>
  <c r="G39" i="5"/>
  <c r="E35" i="4"/>
  <c r="F39" i="5"/>
  <c r="D35" i="4"/>
  <c r="I39" i="5"/>
  <c r="G35" i="4"/>
  <c r="J35" i="4"/>
  <c r="L39" i="5"/>
  <c r="AG12" i="8" s="1"/>
  <c r="K40" i="5" l="1"/>
  <c r="I36" i="4"/>
  <c r="J40" i="5"/>
  <c r="H36" i="4"/>
  <c r="L40" i="5"/>
  <c r="AH12" i="8" s="1"/>
  <c r="J36" i="4"/>
  <c r="A37" i="4"/>
  <c r="G43" i="2"/>
  <c r="I43" i="2"/>
  <c r="K43" i="2"/>
  <c r="J43" i="2"/>
  <c r="H43" i="2"/>
  <c r="L43" i="2"/>
  <c r="E43" i="2"/>
  <c r="F43" i="2"/>
  <c r="D43" i="2"/>
  <c r="D40" i="5"/>
  <c r="B36" i="4"/>
  <c r="G40" i="5"/>
  <c r="E36" i="4"/>
  <c r="D36" i="4"/>
  <c r="F40" i="5"/>
  <c r="H40" i="5"/>
  <c r="F36" i="4"/>
  <c r="E40" i="5"/>
  <c r="C36" i="4"/>
  <c r="I40" i="5"/>
  <c r="G36" i="4"/>
  <c r="E41" i="5" l="1"/>
  <c r="C37" i="4"/>
  <c r="E37" i="4"/>
  <c r="G41" i="5"/>
  <c r="L41" i="5"/>
  <c r="AI12" i="8" s="1"/>
  <c r="J37" i="4"/>
  <c r="H41" i="5"/>
  <c r="F37" i="4"/>
  <c r="A38" i="4"/>
  <c r="K44" i="2"/>
  <c r="H44" i="2"/>
  <c r="I44" i="2"/>
  <c r="G44" i="2"/>
  <c r="J44" i="2"/>
  <c r="L44" i="2"/>
  <c r="D44" i="2"/>
  <c r="F44" i="2"/>
  <c r="E44" i="2"/>
  <c r="J41" i="5"/>
  <c r="H37" i="4"/>
  <c r="B37" i="4"/>
  <c r="D41" i="5"/>
  <c r="I37" i="4"/>
  <c r="K41" i="5"/>
  <c r="F41" i="5"/>
  <c r="D37" i="4"/>
  <c r="G37" i="4"/>
  <c r="I41" i="5"/>
  <c r="J42" i="5" l="1"/>
  <c r="H38" i="4"/>
  <c r="A39" i="4"/>
  <c r="I45" i="2"/>
  <c r="K45" i="2"/>
  <c r="G45" i="2"/>
  <c r="R11" i="2" s="1"/>
  <c r="H45" i="2"/>
  <c r="J45" i="2"/>
  <c r="L45" i="2"/>
  <c r="E45" i="2"/>
  <c r="D45" i="2"/>
  <c r="F45" i="2"/>
  <c r="C38" i="4"/>
  <c r="E42" i="5"/>
  <c r="D42" i="5"/>
  <c r="B38" i="4"/>
  <c r="G42" i="5"/>
  <c r="E38" i="4"/>
  <c r="I42" i="5"/>
  <c r="G38" i="4"/>
  <c r="F42" i="5"/>
  <c r="D38" i="4"/>
  <c r="F38" i="4"/>
  <c r="H42" i="5"/>
  <c r="S11" i="2"/>
  <c r="K42" i="5"/>
  <c r="I38" i="4"/>
  <c r="L42" i="5"/>
  <c r="AJ12" i="8" s="1"/>
  <c r="J38" i="4"/>
  <c r="H8" i="13" l="1"/>
  <c r="F148" i="15"/>
  <c r="K22" i="19" s="1"/>
  <c r="J8" i="13"/>
  <c r="K8" i="13" s="1"/>
  <c r="G148" i="15"/>
  <c r="M22" i="19" s="1"/>
  <c r="K43" i="5"/>
  <c r="I39" i="4"/>
  <c r="E43" i="5"/>
  <c r="C39" i="4"/>
  <c r="I43" i="5"/>
  <c r="G39" i="4"/>
  <c r="L43" i="5"/>
  <c r="AK12" i="8" s="1"/>
  <c r="J39" i="4"/>
  <c r="J43" i="5"/>
  <c r="H39" i="4"/>
  <c r="U11" i="2"/>
  <c r="A40" i="4"/>
  <c r="I46" i="2"/>
  <c r="K46" i="2"/>
  <c r="L46" i="2"/>
  <c r="H46" i="2"/>
  <c r="G46" i="2"/>
  <c r="J46" i="2"/>
  <c r="D46" i="2"/>
  <c r="E46" i="2"/>
  <c r="F46" i="2"/>
  <c r="H43" i="5"/>
  <c r="F39" i="4"/>
  <c r="D43" i="5"/>
  <c r="B39" i="4"/>
  <c r="F43" i="5"/>
  <c r="D39" i="4"/>
  <c r="E39" i="4"/>
  <c r="G43" i="5"/>
  <c r="N8" i="13" l="1"/>
  <c r="O8" i="13" s="1"/>
  <c r="I148" i="15"/>
  <c r="Q22" i="19" s="1"/>
  <c r="E44" i="5"/>
  <c r="C40" i="4"/>
  <c r="G44" i="5"/>
  <c r="E40" i="4"/>
  <c r="A41" i="4"/>
  <c r="G47" i="2"/>
  <c r="K47" i="2"/>
  <c r="I47" i="2"/>
  <c r="J47" i="2"/>
  <c r="H47" i="2"/>
  <c r="L47" i="2"/>
  <c r="E47" i="2"/>
  <c r="D47" i="2"/>
  <c r="F47" i="2"/>
  <c r="J40" i="4"/>
  <c r="L44" i="5"/>
  <c r="AL12" i="8" s="1"/>
  <c r="I40" i="4"/>
  <c r="K44" i="5"/>
  <c r="F40" i="4"/>
  <c r="H44" i="5"/>
  <c r="D44" i="5"/>
  <c r="B40" i="4"/>
  <c r="I44" i="5"/>
  <c r="G40" i="4"/>
  <c r="F44" i="5"/>
  <c r="D40" i="4"/>
  <c r="J44" i="5"/>
  <c r="H40" i="4"/>
  <c r="H41" i="4" l="1"/>
  <c r="J45" i="5"/>
  <c r="D41" i="4"/>
  <c r="F45" i="5"/>
  <c r="I45" i="5"/>
  <c r="G41" i="4"/>
  <c r="D45" i="5"/>
  <c r="B41" i="4"/>
  <c r="K45" i="5"/>
  <c r="I41" i="4"/>
  <c r="E45" i="5"/>
  <c r="C41" i="4"/>
  <c r="G45" i="5"/>
  <c r="E41" i="4"/>
  <c r="L45" i="5"/>
  <c r="AM12" i="8" s="1"/>
  <c r="J41" i="4"/>
  <c r="H45" i="5"/>
  <c r="F41" i="4"/>
  <c r="A42" i="4"/>
  <c r="I48" i="2"/>
  <c r="K48" i="2"/>
  <c r="H48" i="2"/>
  <c r="L48" i="2"/>
  <c r="G48" i="2"/>
  <c r="J48" i="2"/>
  <c r="E48" i="2"/>
  <c r="F48" i="2"/>
  <c r="D48" i="2"/>
  <c r="K46" i="5" l="1"/>
  <c r="I42" i="4"/>
  <c r="I46" i="5"/>
  <c r="G42" i="4"/>
  <c r="H42" i="4"/>
  <c r="J46" i="5"/>
  <c r="F46" i="5"/>
  <c r="D42" i="4"/>
  <c r="E46" i="5"/>
  <c r="C42" i="4"/>
  <c r="G46" i="5"/>
  <c r="E42" i="4"/>
  <c r="A43" i="4"/>
  <c r="G49" i="2"/>
  <c r="I49" i="2"/>
  <c r="L49" i="2"/>
  <c r="K49" i="2"/>
  <c r="J49" i="2"/>
  <c r="H49" i="2"/>
  <c r="D49" i="2"/>
  <c r="E49" i="2"/>
  <c r="F49" i="2"/>
  <c r="L46" i="5"/>
  <c r="AN12" i="8" s="1"/>
  <c r="J42" i="4"/>
  <c r="B42" i="4"/>
  <c r="D46" i="5"/>
  <c r="H46" i="5"/>
  <c r="F42" i="4"/>
  <c r="J47" i="5" l="1"/>
  <c r="H43" i="4"/>
  <c r="A44" i="4"/>
  <c r="K50" i="2"/>
  <c r="I50" i="2"/>
  <c r="G50" i="2"/>
  <c r="H50" i="2"/>
  <c r="L50" i="2"/>
  <c r="J50" i="2"/>
  <c r="E50" i="2"/>
  <c r="F50" i="2"/>
  <c r="D50" i="2"/>
  <c r="I43" i="4"/>
  <c r="K47" i="5"/>
  <c r="J43" i="4"/>
  <c r="L47" i="5"/>
  <c r="AO12" i="8" s="1"/>
  <c r="I47" i="5"/>
  <c r="G43" i="4"/>
  <c r="F47" i="5"/>
  <c r="D43" i="4"/>
  <c r="C43" i="4"/>
  <c r="E47" i="5"/>
  <c r="D47" i="5"/>
  <c r="B43" i="4"/>
  <c r="G47" i="5"/>
  <c r="E43" i="4"/>
  <c r="H47" i="5"/>
  <c r="F43" i="4"/>
  <c r="F48" i="5" l="1"/>
  <c r="D44" i="4"/>
  <c r="G44" i="4"/>
  <c r="I48" i="5"/>
  <c r="K48" i="5"/>
  <c r="I44" i="4"/>
  <c r="J48" i="5"/>
  <c r="H44" i="4"/>
  <c r="L48" i="5"/>
  <c r="AP12" i="8" s="1"/>
  <c r="J44" i="4"/>
  <c r="A45" i="4"/>
  <c r="I51" i="2"/>
  <c r="K51" i="2"/>
  <c r="J51" i="2"/>
  <c r="G51" i="2"/>
  <c r="H51" i="2"/>
  <c r="L51" i="2"/>
  <c r="F51" i="2"/>
  <c r="D51" i="2"/>
  <c r="E51" i="2"/>
  <c r="E48" i="5"/>
  <c r="C44" i="4"/>
  <c r="H48" i="5"/>
  <c r="F44" i="4"/>
  <c r="D48" i="5"/>
  <c r="B44" i="4"/>
  <c r="G48" i="5"/>
  <c r="E44" i="4"/>
  <c r="L49" i="5" l="1"/>
  <c r="AQ12" i="8" s="1"/>
  <c r="J45" i="4"/>
  <c r="H49" i="5"/>
  <c r="F45" i="4"/>
  <c r="A46" i="4"/>
  <c r="I52" i="2"/>
  <c r="T12" i="2" s="1"/>
  <c r="H149" i="15" s="1"/>
  <c r="O23" i="19" s="1"/>
  <c r="K52" i="2"/>
  <c r="L52" i="2"/>
  <c r="H52" i="2"/>
  <c r="G52" i="2"/>
  <c r="J52" i="2"/>
  <c r="U12" i="2" s="1"/>
  <c r="F52" i="2"/>
  <c r="E52" i="2"/>
  <c r="D52" i="2"/>
  <c r="E45" i="4"/>
  <c r="G49" i="5"/>
  <c r="E49" i="5"/>
  <c r="C45" i="4"/>
  <c r="H45" i="4"/>
  <c r="J49" i="5"/>
  <c r="D49" i="5"/>
  <c r="B45" i="4"/>
  <c r="K49" i="5"/>
  <c r="I45" i="4"/>
  <c r="F49" i="5"/>
  <c r="D45" i="4"/>
  <c r="I49" i="5"/>
  <c r="G45" i="4"/>
  <c r="N9" i="13" l="1"/>
  <c r="O9" i="13" s="1"/>
  <c r="I149" i="15"/>
  <c r="Q23" i="19" s="1"/>
  <c r="L9" i="13"/>
  <c r="M9" i="13" s="1"/>
  <c r="V9" i="13" s="1"/>
  <c r="X9" i="13" s="1"/>
  <c r="Z12" i="2"/>
  <c r="AA12" i="2" s="1"/>
  <c r="AB12" i="2" s="1"/>
  <c r="H83" i="15"/>
  <c r="H84" i="15" s="1"/>
  <c r="J50" i="5"/>
  <c r="H46" i="4"/>
  <c r="G50" i="5"/>
  <c r="E46" i="4"/>
  <c r="A47" i="4"/>
  <c r="H53" i="2"/>
  <c r="K53" i="2"/>
  <c r="I53" i="2"/>
  <c r="G53" i="2"/>
  <c r="L53" i="2"/>
  <c r="J53" i="2"/>
  <c r="E53" i="2"/>
  <c r="D53" i="2"/>
  <c r="F53" i="2"/>
  <c r="F46" i="4"/>
  <c r="H50" i="5"/>
  <c r="S12" i="2"/>
  <c r="L50" i="5"/>
  <c r="J46" i="4"/>
  <c r="E50" i="5"/>
  <c r="C46" i="4"/>
  <c r="K50" i="5"/>
  <c r="I46" i="4"/>
  <c r="V12" i="2"/>
  <c r="D50" i="5"/>
  <c r="B46" i="4"/>
  <c r="F50" i="5"/>
  <c r="D46" i="4"/>
  <c r="Q12" i="2"/>
  <c r="I50" i="5"/>
  <c r="G46" i="4"/>
  <c r="AR12" i="8" l="1"/>
  <c r="P9" i="13"/>
  <c r="Q9" i="13" s="1"/>
  <c r="J149" i="15"/>
  <c r="S23" i="19" s="1"/>
  <c r="F9" i="13"/>
  <c r="G9" i="13" s="1"/>
  <c r="T9" i="13" s="1"/>
  <c r="U9" i="13" s="1"/>
  <c r="E149" i="15"/>
  <c r="I23" i="19" s="1"/>
  <c r="J9" i="13"/>
  <c r="K9" i="13" s="1"/>
  <c r="G149" i="15"/>
  <c r="M23" i="19" s="1"/>
  <c r="H47" i="4"/>
  <c r="J51" i="5"/>
  <c r="L51" i="5"/>
  <c r="AS12" i="8" s="1"/>
  <c r="J47" i="4"/>
  <c r="A48" i="4"/>
  <c r="G54" i="2"/>
  <c r="K54" i="2"/>
  <c r="I54" i="2"/>
  <c r="J54" i="2"/>
  <c r="H54" i="2"/>
  <c r="L54" i="2"/>
  <c r="E54" i="2"/>
  <c r="F54" i="2"/>
  <c r="D54" i="2"/>
  <c r="G51" i="5"/>
  <c r="E47" i="4"/>
  <c r="F51" i="5"/>
  <c r="D47" i="4"/>
  <c r="G47" i="4"/>
  <c r="I51" i="5"/>
  <c r="D51" i="5"/>
  <c r="B47" i="4"/>
  <c r="I47" i="4"/>
  <c r="K51" i="5"/>
  <c r="E51" i="5"/>
  <c r="C47" i="4"/>
  <c r="H51" i="5"/>
  <c r="F47" i="4"/>
  <c r="H52" i="5" l="1"/>
  <c r="O10" i="5" s="1"/>
  <c r="F48" i="4"/>
  <c r="A49" i="4"/>
  <c r="I55" i="2"/>
  <c r="I1" i="2" s="1"/>
  <c r="K55" i="2"/>
  <c r="I8" i="9" s="1"/>
  <c r="J8" i="9" s="1"/>
  <c r="H55" i="2"/>
  <c r="H1" i="2" s="1"/>
  <c r="J55" i="2"/>
  <c r="J1" i="2" s="1"/>
  <c r="G55" i="2"/>
  <c r="G1" i="2" s="1"/>
  <c r="L55" i="2"/>
  <c r="I8" i="15" s="1"/>
  <c r="D55" i="2"/>
  <c r="D1" i="2" s="1"/>
  <c r="E55" i="2"/>
  <c r="E1" i="2" s="1"/>
  <c r="F55" i="2"/>
  <c r="F1" i="2" s="1"/>
  <c r="H48" i="4"/>
  <c r="J52" i="5"/>
  <c r="O12" i="5" s="1"/>
  <c r="F52" i="5"/>
  <c r="O8" i="5" s="1"/>
  <c r="D48" i="4"/>
  <c r="D52" i="5"/>
  <c r="O6" i="5" s="1"/>
  <c r="B48" i="4"/>
  <c r="I52" i="5"/>
  <c r="O11" i="5" s="1"/>
  <c r="G48" i="4"/>
  <c r="K52" i="5"/>
  <c r="O13" i="5" s="1"/>
  <c r="I48" i="4"/>
  <c r="E52" i="5"/>
  <c r="O7" i="5" s="1"/>
  <c r="C48" i="4"/>
  <c r="G52" i="5"/>
  <c r="O9" i="5" s="1"/>
  <c r="E48" i="4"/>
  <c r="L52" i="5"/>
  <c r="AT12" i="8" s="1"/>
  <c r="J48" i="4"/>
  <c r="P9" i="5" l="1"/>
  <c r="P7" i="5"/>
  <c r="P8" i="5"/>
  <c r="P13" i="5"/>
  <c r="P12" i="5"/>
  <c r="P6" i="5"/>
  <c r="P11" i="5"/>
  <c r="P10" i="5"/>
  <c r="L1" i="2"/>
  <c r="K1" i="2"/>
  <c r="I7" i="9"/>
  <c r="D5" i="15"/>
  <c r="O14" i="5"/>
  <c r="Q12" i="5" s="1"/>
  <c r="I9" i="15"/>
  <c r="E8" i="16" s="1"/>
  <c r="D4" i="9"/>
  <c r="J8" i="15"/>
  <c r="L20" i="15" s="1"/>
  <c r="L10" i="15"/>
  <c r="E15" i="15"/>
  <c r="E7" i="16"/>
  <c r="D7" i="19"/>
  <c r="J5" i="15"/>
  <c r="K53" i="5"/>
  <c r="I49" i="4"/>
  <c r="I53" i="5"/>
  <c r="G49" i="4"/>
  <c r="L53" i="5"/>
  <c r="AU12" i="8" s="1"/>
  <c r="J49" i="4"/>
  <c r="E53" i="5"/>
  <c r="C49" i="4"/>
  <c r="D53" i="5"/>
  <c r="B49" i="4"/>
  <c r="G53" i="5"/>
  <c r="E49" i="4"/>
  <c r="A50" i="4"/>
  <c r="I56" i="2"/>
  <c r="G56" i="2"/>
  <c r="K56" i="2"/>
  <c r="H56" i="2"/>
  <c r="J56" i="2"/>
  <c r="L56" i="2"/>
  <c r="E56" i="2"/>
  <c r="D56" i="2"/>
  <c r="F56" i="2"/>
  <c r="J53" i="5"/>
  <c r="H49" i="4"/>
  <c r="F53" i="5"/>
  <c r="D49" i="4"/>
  <c r="H53" i="5"/>
  <c r="F49" i="4"/>
  <c r="I10" i="15" l="1"/>
  <c r="Q10" i="5"/>
  <c r="Q14" i="5"/>
  <c r="P14" i="5"/>
  <c r="Q7" i="5"/>
  <c r="J9" i="15"/>
  <c r="J10" i="15" s="1"/>
  <c r="B20" i="15" s="1"/>
  <c r="Q11" i="5"/>
  <c r="Q13" i="5"/>
  <c r="J7" i="9"/>
  <c r="J4" i="9"/>
  <c r="L9" i="9"/>
  <c r="J18" i="9"/>
  <c r="Q9" i="5"/>
  <c r="I9" i="9"/>
  <c r="Q6" i="5"/>
  <c r="Q8" i="5"/>
  <c r="H7" i="16"/>
  <c r="F7" i="16"/>
  <c r="N7" i="16"/>
  <c r="E9" i="16"/>
  <c r="L45" i="16"/>
  <c r="E20" i="15"/>
  <c r="M20" i="15" s="1"/>
  <c r="C14" i="15"/>
  <c r="AA13" i="20"/>
  <c r="D15" i="15"/>
  <c r="G7" i="19"/>
  <c r="H7" i="19" s="1"/>
  <c r="M7" i="19"/>
  <c r="E7" i="19"/>
  <c r="F8" i="16"/>
  <c r="O8" i="16" s="1"/>
  <c r="N8" i="16"/>
  <c r="H8" i="16"/>
  <c r="I8" i="16" s="1"/>
  <c r="J54" i="5"/>
  <c r="H50" i="4"/>
  <c r="A51" i="4"/>
  <c r="I57" i="2"/>
  <c r="K57" i="2"/>
  <c r="G57" i="2"/>
  <c r="H57" i="2"/>
  <c r="J57" i="2"/>
  <c r="L57" i="2"/>
  <c r="F57" i="2"/>
  <c r="E57" i="2"/>
  <c r="D57" i="2"/>
  <c r="H54" i="5"/>
  <c r="F50" i="4"/>
  <c r="K54" i="5"/>
  <c r="I50" i="4"/>
  <c r="F54" i="5"/>
  <c r="D50" i="4"/>
  <c r="D54" i="5"/>
  <c r="B50" i="4"/>
  <c r="E50" i="4"/>
  <c r="G54" i="5"/>
  <c r="I54" i="5"/>
  <c r="G50" i="4"/>
  <c r="E54" i="5"/>
  <c r="C50" i="4"/>
  <c r="L54" i="5"/>
  <c r="AV12" i="8" s="1"/>
  <c r="J50" i="4"/>
  <c r="E13" i="9" l="1"/>
  <c r="J9" i="9"/>
  <c r="B13" i="9" s="1"/>
  <c r="D12" i="16"/>
  <c r="B21" i="15"/>
  <c r="D13" i="16" s="1"/>
  <c r="D14" i="16" s="1"/>
  <c r="AB14" i="20"/>
  <c r="AA14" i="20"/>
  <c r="Z14" i="20" s="1"/>
  <c r="Z16" i="20" s="1"/>
  <c r="N9" i="16"/>
  <c r="S7" i="19"/>
  <c r="O7" i="19"/>
  <c r="T7" i="19"/>
  <c r="Q7" i="19"/>
  <c r="P7" i="19"/>
  <c r="R7" i="19"/>
  <c r="N7" i="19"/>
  <c r="J14" i="15"/>
  <c r="C16" i="15"/>
  <c r="F14" i="15"/>
  <c r="G14" i="15" s="1"/>
  <c r="D14" i="15"/>
  <c r="O7" i="16"/>
  <c r="O9" i="16" s="1"/>
  <c r="F9" i="16"/>
  <c r="E21" i="15"/>
  <c r="H13" i="16" s="1"/>
  <c r="H12" i="16"/>
  <c r="I7" i="16"/>
  <c r="I9" i="16" s="1"/>
  <c r="H9" i="16"/>
  <c r="F51" i="4"/>
  <c r="H55" i="5"/>
  <c r="D55" i="5"/>
  <c r="B51" i="4"/>
  <c r="G55" i="5"/>
  <c r="E51" i="4"/>
  <c r="E55" i="5"/>
  <c r="C51" i="4"/>
  <c r="K55" i="5"/>
  <c r="I51" i="4"/>
  <c r="F55" i="5"/>
  <c r="D51" i="4"/>
  <c r="G51" i="4"/>
  <c r="I55" i="5"/>
  <c r="J51" i="4"/>
  <c r="L55" i="5"/>
  <c r="AW12" i="8" s="1"/>
  <c r="J55" i="5"/>
  <c r="H51" i="4"/>
  <c r="A52" i="4"/>
  <c r="G58" i="2"/>
  <c r="H58" i="2"/>
  <c r="I58" i="2"/>
  <c r="K58" i="2"/>
  <c r="J58" i="2"/>
  <c r="L58" i="2"/>
  <c r="F58" i="2"/>
  <c r="E58" i="2"/>
  <c r="D58" i="2"/>
  <c r="H13" i="9" l="1"/>
  <c r="AB15" i="20"/>
  <c r="AC14" i="20"/>
  <c r="J16" i="15"/>
  <c r="D16" i="15"/>
  <c r="F16" i="15"/>
  <c r="G16" i="15" s="1"/>
  <c r="L56" i="5"/>
  <c r="AX12" i="8" s="1"/>
  <c r="J52" i="4"/>
  <c r="J56" i="5"/>
  <c r="H52" i="4"/>
  <c r="A53" i="4"/>
  <c r="J59" i="2"/>
  <c r="K59" i="2"/>
  <c r="V13" i="2" s="1"/>
  <c r="I59" i="2"/>
  <c r="G59" i="2"/>
  <c r="H59" i="2"/>
  <c r="L59" i="2"/>
  <c r="D59" i="2"/>
  <c r="F59" i="2"/>
  <c r="Q13" i="2" s="1"/>
  <c r="E59" i="2"/>
  <c r="K56" i="5"/>
  <c r="I52" i="4"/>
  <c r="D56" i="5"/>
  <c r="B52" i="4"/>
  <c r="I56" i="5"/>
  <c r="G52" i="4"/>
  <c r="E56" i="5"/>
  <c r="C52" i="4"/>
  <c r="H56" i="5"/>
  <c r="F52" i="4"/>
  <c r="F56" i="5"/>
  <c r="D52" i="4"/>
  <c r="G56" i="5"/>
  <c r="E52" i="4"/>
  <c r="AD14" i="20" l="1"/>
  <c r="AC15" i="20"/>
  <c r="P10" i="13"/>
  <c r="Q10" i="13" s="1"/>
  <c r="J150" i="15"/>
  <c r="F10" i="13"/>
  <c r="G10" i="13" s="1"/>
  <c r="T10" i="13" s="1"/>
  <c r="U10" i="13" s="1"/>
  <c r="E150" i="15"/>
  <c r="H57" i="5"/>
  <c r="F53" i="4"/>
  <c r="A54" i="4"/>
  <c r="K60" i="2"/>
  <c r="G60" i="2"/>
  <c r="I60" i="2"/>
  <c r="J60" i="2"/>
  <c r="H60" i="2"/>
  <c r="L60" i="2"/>
  <c r="E60" i="2"/>
  <c r="F60" i="2"/>
  <c r="D60" i="2"/>
  <c r="G57" i="5"/>
  <c r="E53" i="4"/>
  <c r="C53" i="4"/>
  <c r="E57" i="5"/>
  <c r="G53" i="4"/>
  <c r="I57" i="5"/>
  <c r="K57" i="5"/>
  <c r="I53" i="4"/>
  <c r="D53" i="4"/>
  <c r="F57" i="5"/>
  <c r="D57" i="5"/>
  <c r="B53" i="4"/>
  <c r="H53" i="4"/>
  <c r="J57" i="5"/>
  <c r="L57" i="5"/>
  <c r="AY12" i="8" s="1"/>
  <c r="J53" i="4"/>
  <c r="AE14" i="20" l="1"/>
  <c r="AD15" i="20"/>
  <c r="F58" i="5"/>
  <c r="D54" i="4"/>
  <c r="E54" i="4"/>
  <c r="G58" i="5"/>
  <c r="K58" i="5"/>
  <c r="I54" i="4"/>
  <c r="J54" i="4"/>
  <c r="L58" i="5"/>
  <c r="AZ12" i="8" s="1"/>
  <c r="E58" i="5"/>
  <c r="C54" i="4"/>
  <c r="H58" i="5"/>
  <c r="F54" i="4"/>
  <c r="A55" i="4"/>
  <c r="K61" i="2"/>
  <c r="H61" i="2"/>
  <c r="G61" i="2"/>
  <c r="I61" i="2"/>
  <c r="J61" i="2"/>
  <c r="L61" i="2"/>
  <c r="D61" i="2"/>
  <c r="E61" i="2"/>
  <c r="F61" i="2"/>
  <c r="J58" i="5"/>
  <c r="H54" i="4"/>
  <c r="B54" i="4"/>
  <c r="D58" i="5"/>
  <c r="G54" i="4"/>
  <c r="I58" i="5"/>
  <c r="AE15" i="20" l="1"/>
  <c r="AF14" i="20"/>
  <c r="J59" i="5"/>
  <c r="H55" i="4"/>
  <c r="A56" i="4"/>
  <c r="I62" i="2"/>
  <c r="G62" i="2"/>
  <c r="K62" i="2"/>
  <c r="H62" i="2"/>
  <c r="J62" i="2"/>
  <c r="L62" i="2"/>
  <c r="E62" i="2"/>
  <c r="D62" i="2"/>
  <c r="F62" i="2"/>
  <c r="I59" i="5"/>
  <c r="G55" i="4"/>
  <c r="F59" i="5"/>
  <c r="D55" i="4"/>
  <c r="G59" i="5"/>
  <c r="E55" i="4"/>
  <c r="F55" i="4"/>
  <c r="H59" i="5"/>
  <c r="C55" i="4"/>
  <c r="E59" i="5"/>
  <c r="D59" i="5"/>
  <c r="B55" i="4"/>
  <c r="K59" i="5"/>
  <c r="I55" i="4"/>
  <c r="J55" i="4"/>
  <c r="L59" i="5"/>
  <c r="BA12" i="8" s="1"/>
  <c r="AG14" i="20" l="1"/>
  <c r="AG15" i="20" s="1"/>
  <c r="AF15" i="20"/>
  <c r="H60" i="5"/>
  <c r="F56" i="4"/>
  <c r="F60" i="5"/>
  <c r="D56" i="4"/>
  <c r="K60" i="5"/>
  <c r="I56" i="4"/>
  <c r="D60" i="5"/>
  <c r="B56" i="4"/>
  <c r="G60" i="5"/>
  <c r="E56" i="4"/>
  <c r="E60" i="5"/>
  <c r="C56" i="4"/>
  <c r="I60" i="5"/>
  <c r="G56" i="4"/>
  <c r="L60" i="5"/>
  <c r="BB12" i="8" s="1"/>
  <c r="J56" i="4"/>
  <c r="J60" i="5"/>
  <c r="H56" i="4"/>
  <c r="A57" i="4"/>
  <c r="I63" i="2"/>
  <c r="K63" i="2"/>
  <c r="G63" i="2"/>
  <c r="H63" i="2"/>
  <c r="J63" i="2"/>
  <c r="L63" i="2"/>
  <c r="D63" i="2"/>
  <c r="F63" i="2"/>
  <c r="E63" i="2"/>
  <c r="H61" i="5" l="1"/>
  <c r="F57" i="4"/>
  <c r="E61" i="5"/>
  <c r="C57" i="4"/>
  <c r="G61" i="5"/>
  <c r="E57" i="4"/>
  <c r="I57" i="4"/>
  <c r="K61" i="5"/>
  <c r="F61" i="5"/>
  <c r="D57" i="4"/>
  <c r="D61" i="5"/>
  <c r="B57" i="4"/>
  <c r="I61" i="5"/>
  <c r="G57" i="4"/>
  <c r="L61" i="5"/>
  <c r="BC12" i="8" s="1"/>
  <c r="J57" i="4"/>
  <c r="J61" i="5"/>
  <c r="H57" i="4"/>
  <c r="A58" i="4"/>
  <c r="H64" i="2"/>
  <c r="I64" i="2"/>
  <c r="K64" i="2"/>
  <c r="G64" i="2"/>
  <c r="J64" i="2"/>
  <c r="L64" i="2"/>
  <c r="F64" i="2"/>
  <c r="E64" i="2"/>
  <c r="D64" i="2"/>
  <c r="J58" i="4" l="1"/>
  <c r="L62" i="5"/>
  <c r="BD12" i="8" s="1"/>
  <c r="H58" i="4"/>
  <c r="J62" i="5"/>
  <c r="A59" i="4"/>
  <c r="K65" i="2"/>
  <c r="I65" i="2"/>
  <c r="H65" i="2"/>
  <c r="G65" i="2"/>
  <c r="L65" i="2"/>
  <c r="J65" i="2"/>
  <c r="F65" i="2"/>
  <c r="E65" i="2"/>
  <c r="D65" i="2"/>
  <c r="G62" i="5"/>
  <c r="E58" i="4"/>
  <c r="D62" i="5"/>
  <c r="B58" i="4"/>
  <c r="K62" i="5"/>
  <c r="I58" i="4"/>
  <c r="E62" i="5"/>
  <c r="C58" i="4"/>
  <c r="I62" i="5"/>
  <c r="G58" i="4"/>
  <c r="F62" i="5"/>
  <c r="D58" i="4"/>
  <c r="H62" i="5"/>
  <c r="F58" i="4"/>
  <c r="H59" i="4" l="1"/>
  <c r="J63" i="5"/>
  <c r="L63" i="5"/>
  <c r="BE12" i="8" s="1"/>
  <c r="J59" i="4"/>
  <c r="A60" i="4"/>
  <c r="G66" i="2"/>
  <c r="K66" i="2"/>
  <c r="I66" i="2"/>
  <c r="J66" i="2"/>
  <c r="H66" i="2"/>
  <c r="L66" i="2"/>
  <c r="D66" i="2"/>
  <c r="F66" i="2"/>
  <c r="E66" i="2"/>
  <c r="G63" i="5"/>
  <c r="E59" i="4"/>
  <c r="B59" i="4"/>
  <c r="D63" i="5"/>
  <c r="H63" i="5"/>
  <c r="F59" i="4"/>
  <c r="E63" i="5"/>
  <c r="C59" i="4"/>
  <c r="I63" i="5"/>
  <c r="G59" i="4"/>
  <c r="F63" i="5"/>
  <c r="D59" i="4"/>
  <c r="K63" i="5"/>
  <c r="I59" i="4"/>
  <c r="J60" i="4" l="1"/>
  <c r="L64" i="5"/>
  <c r="BF12" i="8" s="1"/>
  <c r="H64" i="5"/>
  <c r="F60" i="4"/>
  <c r="A61" i="4"/>
  <c r="K67" i="2"/>
  <c r="I67" i="2"/>
  <c r="G67" i="2"/>
  <c r="H67" i="2"/>
  <c r="L67" i="2"/>
  <c r="J67" i="2"/>
  <c r="E67" i="2"/>
  <c r="F67" i="2"/>
  <c r="D67" i="2"/>
  <c r="J64" i="5"/>
  <c r="H60" i="4"/>
  <c r="U14" i="2"/>
  <c r="C60" i="4"/>
  <c r="E64" i="5"/>
  <c r="G60" i="4"/>
  <c r="I64" i="5"/>
  <c r="I60" i="4"/>
  <c r="K64" i="5"/>
  <c r="F64" i="5"/>
  <c r="D60" i="4"/>
  <c r="D64" i="5"/>
  <c r="B60" i="4"/>
  <c r="G64" i="5"/>
  <c r="E60" i="4"/>
  <c r="N11" i="13" l="1"/>
  <c r="O11" i="13" s="1"/>
  <c r="I151" i="15"/>
  <c r="J65" i="5"/>
  <c r="H61" i="4"/>
  <c r="J61" i="4"/>
  <c r="L65" i="5"/>
  <c r="BG12" i="8" s="1"/>
  <c r="A62" i="4"/>
  <c r="G68" i="2"/>
  <c r="I68" i="2"/>
  <c r="J68" i="2"/>
  <c r="K68" i="2"/>
  <c r="H68" i="2"/>
  <c r="L68" i="2"/>
  <c r="F68" i="2"/>
  <c r="D68" i="2"/>
  <c r="E68" i="2"/>
  <c r="H65" i="5"/>
  <c r="F61" i="4"/>
  <c r="D65" i="5"/>
  <c r="B61" i="4"/>
  <c r="G65" i="5"/>
  <c r="E61" i="4"/>
  <c r="F65" i="5"/>
  <c r="D61" i="4"/>
  <c r="G61" i="4"/>
  <c r="I65" i="5"/>
  <c r="E65" i="5"/>
  <c r="C61" i="4"/>
  <c r="K65" i="5"/>
  <c r="I61" i="4"/>
  <c r="H66" i="5" l="1"/>
  <c r="F62" i="4"/>
  <c r="A63" i="4"/>
  <c r="I69" i="2"/>
  <c r="K69" i="2"/>
  <c r="G69" i="2"/>
  <c r="H69" i="2"/>
  <c r="J69" i="2"/>
  <c r="L69" i="2"/>
  <c r="D69" i="2"/>
  <c r="E69" i="2"/>
  <c r="F69" i="2"/>
  <c r="K66" i="5"/>
  <c r="I62" i="4"/>
  <c r="E66" i="5"/>
  <c r="C62" i="4"/>
  <c r="H62" i="4"/>
  <c r="J66" i="5"/>
  <c r="I66" i="5"/>
  <c r="G62" i="4"/>
  <c r="D66" i="5"/>
  <c r="B62" i="4"/>
  <c r="F66" i="5"/>
  <c r="D62" i="4"/>
  <c r="G66" i="5"/>
  <c r="E62" i="4"/>
  <c r="L66" i="5"/>
  <c r="BH12" i="8" s="1"/>
  <c r="J62" i="4"/>
  <c r="K67" i="5" l="1"/>
  <c r="I63" i="4"/>
  <c r="I67" i="5"/>
  <c r="G63" i="4"/>
  <c r="L67" i="5"/>
  <c r="BI12" i="8" s="1"/>
  <c r="J63" i="4"/>
  <c r="E67" i="5"/>
  <c r="C63" i="4"/>
  <c r="J67" i="5"/>
  <c r="H63" i="4"/>
  <c r="A64" i="4"/>
  <c r="I70" i="2"/>
  <c r="H70" i="2"/>
  <c r="G70" i="2"/>
  <c r="J70" i="2"/>
  <c r="K70" i="2"/>
  <c r="L70" i="2"/>
  <c r="E70" i="2"/>
  <c r="D70" i="2"/>
  <c r="F70" i="2"/>
  <c r="H67" i="5"/>
  <c r="F63" i="4"/>
  <c r="D67" i="5"/>
  <c r="B63" i="4"/>
  <c r="F67" i="5"/>
  <c r="D63" i="4"/>
  <c r="G67" i="5"/>
  <c r="E63" i="4"/>
  <c r="D64" i="4" l="1"/>
  <c r="F68" i="5"/>
  <c r="E64" i="4"/>
  <c r="G68" i="5"/>
  <c r="H68" i="5"/>
  <c r="F64" i="4"/>
  <c r="D68" i="5"/>
  <c r="B64" i="4"/>
  <c r="E68" i="5"/>
  <c r="C64" i="4"/>
  <c r="I68" i="5"/>
  <c r="G64" i="4"/>
  <c r="L68" i="5"/>
  <c r="BJ12" i="8" s="1"/>
  <c r="J64" i="4"/>
  <c r="K68" i="5"/>
  <c r="I64" i="4"/>
  <c r="A65" i="4"/>
  <c r="I71" i="2"/>
  <c r="G71" i="2"/>
  <c r="H71" i="2"/>
  <c r="K71" i="2"/>
  <c r="J71" i="2"/>
  <c r="L71" i="2"/>
  <c r="F71" i="2"/>
  <c r="E71" i="2"/>
  <c r="D71" i="2"/>
  <c r="J68" i="5"/>
  <c r="H64" i="4"/>
  <c r="C65" i="4" l="1"/>
  <c r="E69" i="5"/>
  <c r="G69" i="5"/>
  <c r="E65" i="4"/>
  <c r="F69" i="5"/>
  <c r="D65" i="4"/>
  <c r="I69" i="5"/>
  <c r="G65" i="4"/>
  <c r="L69" i="5"/>
  <c r="BK12" i="8" s="1"/>
  <c r="J65" i="4"/>
  <c r="J69" i="5"/>
  <c r="H65" i="4"/>
  <c r="A66" i="4"/>
  <c r="I72" i="2"/>
  <c r="H72" i="2"/>
  <c r="J72" i="2"/>
  <c r="K72" i="2"/>
  <c r="G72" i="2"/>
  <c r="L72" i="2"/>
  <c r="D72" i="2"/>
  <c r="E72" i="2"/>
  <c r="F72" i="2"/>
  <c r="K69" i="5"/>
  <c r="I65" i="4"/>
  <c r="D69" i="5"/>
  <c r="B65" i="4"/>
  <c r="F65" i="4"/>
  <c r="H69" i="5"/>
  <c r="E70" i="5" l="1"/>
  <c r="C66" i="4"/>
  <c r="H70" i="5"/>
  <c r="F66" i="4"/>
  <c r="I70" i="5"/>
  <c r="G66" i="4"/>
  <c r="L70" i="5"/>
  <c r="BL12" i="8" s="1"/>
  <c r="J66" i="4"/>
  <c r="D70" i="5"/>
  <c r="B66" i="4"/>
  <c r="G70" i="5"/>
  <c r="E66" i="4"/>
  <c r="A67" i="4"/>
  <c r="G73" i="2"/>
  <c r="I73" i="2"/>
  <c r="K73" i="2"/>
  <c r="H73" i="2"/>
  <c r="S15" i="2" s="1"/>
  <c r="J73" i="2"/>
  <c r="U15" i="2" s="1"/>
  <c r="L73" i="2"/>
  <c r="E73" i="2"/>
  <c r="F73" i="2"/>
  <c r="D73" i="2"/>
  <c r="K70" i="5"/>
  <c r="I66" i="4"/>
  <c r="F70" i="5"/>
  <c r="D66" i="4"/>
  <c r="J70" i="5"/>
  <c r="H66" i="4"/>
  <c r="N12" i="13" l="1"/>
  <c r="O12" i="13" s="1"/>
  <c r="I152" i="15"/>
  <c r="J12" i="13"/>
  <c r="K12" i="13" s="1"/>
  <c r="G152" i="15"/>
  <c r="G67" i="4"/>
  <c r="I71" i="5"/>
  <c r="D71" i="5"/>
  <c r="B67" i="4"/>
  <c r="E71" i="5"/>
  <c r="C67" i="4"/>
  <c r="E67" i="4"/>
  <c r="G71" i="5"/>
  <c r="L71" i="5"/>
  <c r="BM12" i="8" s="1"/>
  <c r="J67" i="4"/>
  <c r="F71" i="5"/>
  <c r="D67" i="4"/>
  <c r="J71" i="5"/>
  <c r="H67" i="4"/>
  <c r="A68" i="4"/>
  <c r="K74" i="2"/>
  <c r="H74" i="2"/>
  <c r="I74" i="2"/>
  <c r="J74" i="2"/>
  <c r="G74" i="2"/>
  <c r="L74" i="2"/>
  <c r="F74" i="2"/>
  <c r="D74" i="2"/>
  <c r="E74" i="2"/>
  <c r="H71" i="5"/>
  <c r="F67" i="4"/>
  <c r="K71" i="5"/>
  <c r="I67" i="4"/>
  <c r="K72" i="5" l="1"/>
  <c r="I68" i="4"/>
  <c r="J68" i="4"/>
  <c r="L72" i="5"/>
  <c r="BN12" i="8" s="1"/>
  <c r="G72" i="5"/>
  <c r="E68" i="4"/>
  <c r="A69" i="4"/>
  <c r="I75" i="2"/>
  <c r="K75" i="2"/>
  <c r="G75" i="2"/>
  <c r="H75" i="2"/>
  <c r="J75" i="2"/>
  <c r="L75" i="2"/>
  <c r="D75" i="2"/>
  <c r="F75" i="2"/>
  <c r="E75" i="2"/>
  <c r="J72" i="5"/>
  <c r="H68" i="4"/>
  <c r="F72" i="5"/>
  <c r="D68" i="4"/>
  <c r="G68" i="4"/>
  <c r="I72" i="5"/>
  <c r="E72" i="5"/>
  <c r="C68" i="4"/>
  <c r="D72" i="5"/>
  <c r="B68" i="4"/>
  <c r="F68" i="4"/>
  <c r="H72" i="5"/>
  <c r="K73" i="5" l="1"/>
  <c r="I69" i="4"/>
  <c r="F73" i="5"/>
  <c r="D69" i="4"/>
  <c r="D73" i="5"/>
  <c r="B69" i="4"/>
  <c r="I73" i="5"/>
  <c r="G69" i="4"/>
  <c r="J69" i="4"/>
  <c r="L73" i="5"/>
  <c r="BO12" i="8" s="1"/>
  <c r="J73" i="5"/>
  <c r="H69" i="4"/>
  <c r="A70" i="4"/>
  <c r="I76" i="2"/>
  <c r="K76" i="2"/>
  <c r="G76" i="2"/>
  <c r="J76" i="2"/>
  <c r="H76" i="2"/>
  <c r="L76" i="2"/>
  <c r="E76" i="2"/>
  <c r="D76" i="2"/>
  <c r="F76" i="2"/>
  <c r="H73" i="5"/>
  <c r="F69" i="4"/>
  <c r="E73" i="5"/>
  <c r="C69" i="4"/>
  <c r="G73" i="5"/>
  <c r="E69" i="4"/>
  <c r="F74" i="5" l="1"/>
  <c r="D70" i="4"/>
  <c r="G74" i="5"/>
  <c r="E70" i="4"/>
  <c r="I70" i="4"/>
  <c r="K74" i="5"/>
  <c r="I74" i="5"/>
  <c r="G70" i="4"/>
  <c r="L74" i="5"/>
  <c r="BP12" i="8" s="1"/>
  <c r="J70" i="4"/>
  <c r="D74" i="5"/>
  <c r="B70" i="4"/>
  <c r="E74" i="5"/>
  <c r="C70" i="4"/>
  <c r="H74" i="5"/>
  <c r="F70" i="4"/>
  <c r="A71" i="4"/>
  <c r="I77" i="2"/>
  <c r="G77" i="2"/>
  <c r="K77" i="2"/>
  <c r="H77" i="2"/>
  <c r="L77" i="2"/>
  <c r="J77" i="2"/>
  <c r="F77" i="2"/>
  <c r="E77" i="2"/>
  <c r="D77" i="2"/>
  <c r="J74" i="5"/>
  <c r="H70" i="4"/>
  <c r="F75" i="5" l="1"/>
  <c r="D71" i="4"/>
  <c r="E75" i="5"/>
  <c r="C71" i="4"/>
  <c r="E71" i="4"/>
  <c r="G75" i="5"/>
  <c r="I75" i="5"/>
  <c r="G71" i="4"/>
  <c r="J75" i="5"/>
  <c r="H71" i="4"/>
  <c r="J71" i="4"/>
  <c r="L75" i="5"/>
  <c r="BQ12" i="8" s="1"/>
  <c r="A72" i="4"/>
  <c r="I78" i="2"/>
  <c r="H78" i="2"/>
  <c r="G78" i="2"/>
  <c r="L78" i="2"/>
  <c r="K78" i="2"/>
  <c r="J78" i="2"/>
  <c r="D78" i="2"/>
  <c r="E78" i="2"/>
  <c r="F78" i="2"/>
  <c r="H75" i="5"/>
  <c r="F71" i="4"/>
  <c r="B71" i="4"/>
  <c r="D75" i="5"/>
  <c r="I71" i="4"/>
  <c r="K75" i="5"/>
  <c r="D76" i="5" l="1"/>
  <c r="B72" i="4"/>
  <c r="I76" i="5"/>
  <c r="G72" i="4"/>
  <c r="J76" i="5"/>
  <c r="H72" i="4"/>
  <c r="K76" i="5"/>
  <c r="I72" i="4"/>
  <c r="A73" i="4"/>
  <c r="G79" i="2"/>
  <c r="I79" i="2"/>
  <c r="K79" i="2"/>
  <c r="H79" i="2"/>
  <c r="J79" i="2"/>
  <c r="L79" i="2"/>
  <c r="E79" i="2"/>
  <c r="F79" i="2"/>
  <c r="D79" i="2"/>
  <c r="L76" i="5"/>
  <c r="BR12" i="8" s="1"/>
  <c r="J72" i="4"/>
  <c r="F76" i="5"/>
  <c r="D72" i="4"/>
  <c r="G76" i="5"/>
  <c r="E72" i="4"/>
  <c r="C72" i="4"/>
  <c r="E76" i="5"/>
  <c r="F72" i="4"/>
  <c r="H76" i="5"/>
  <c r="F77" i="5" l="1"/>
  <c r="D73" i="4"/>
  <c r="J77" i="5"/>
  <c r="H73" i="4"/>
  <c r="A74" i="4"/>
  <c r="K80" i="2"/>
  <c r="V16" i="2" s="1"/>
  <c r="H80" i="2"/>
  <c r="I80" i="2"/>
  <c r="T16" i="2" s="1"/>
  <c r="H153" i="15" s="1"/>
  <c r="G80" i="2"/>
  <c r="J80" i="2"/>
  <c r="U16" i="2" s="1"/>
  <c r="L80" i="2"/>
  <c r="D80" i="2"/>
  <c r="F80" i="2"/>
  <c r="E80" i="2"/>
  <c r="H77" i="5"/>
  <c r="F73" i="4"/>
  <c r="S16" i="2"/>
  <c r="D77" i="5"/>
  <c r="B73" i="4"/>
  <c r="K77" i="5"/>
  <c r="I73" i="4"/>
  <c r="I77" i="5"/>
  <c r="G73" i="4"/>
  <c r="E77" i="5"/>
  <c r="C73" i="4"/>
  <c r="G77" i="5"/>
  <c r="E73" i="4"/>
  <c r="J73" i="4"/>
  <c r="L77" i="5"/>
  <c r="BS12" i="8" s="1"/>
  <c r="P13" i="13" l="1"/>
  <c r="Q13" i="13" s="1"/>
  <c r="J153" i="15"/>
  <c r="N13" i="13"/>
  <c r="O13" i="13" s="1"/>
  <c r="I153" i="15"/>
  <c r="J13" i="13"/>
  <c r="K13" i="13" s="1"/>
  <c r="G153" i="15"/>
  <c r="L13" i="13"/>
  <c r="M13" i="13" s="1"/>
  <c r="V13" i="13" s="1"/>
  <c r="X13" i="13" s="1"/>
  <c r="Z16" i="2"/>
  <c r="AA16" i="2" s="1"/>
  <c r="AB16" i="2" s="1"/>
  <c r="D90" i="15"/>
  <c r="L78" i="5"/>
  <c r="BT12" i="8" s="1"/>
  <c r="J74" i="4"/>
  <c r="J78" i="5"/>
  <c r="H74" i="4"/>
  <c r="A75" i="4"/>
  <c r="I81" i="2"/>
  <c r="K81" i="2"/>
  <c r="G81" i="2"/>
  <c r="H81" i="2"/>
  <c r="J81" i="2"/>
  <c r="L81" i="2"/>
  <c r="E81" i="2"/>
  <c r="D81" i="2"/>
  <c r="F81" i="2"/>
  <c r="E74" i="4"/>
  <c r="G78" i="5"/>
  <c r="E78" i="5"/>
  <c r="C74" i="4"/>
  <c r="G74" i="4"/>
  <c r="I78" i="5"/>
  <c r="F78" i="5"/>
  <c r="D74" i="4"/>
  <c r="H78" i="5"/>
  <c r="F74" i="4"/>
  <c r="D78" i="5"/>
  <c r="B74" i="4"/>
  <c r="I74" i="4"/>
  <c r="K78" i="5"/>
  <c r="D91" i="15" l="1"/>
  <c r="L79" i="5"/>
  <c r="BU12" i="8" s="1"/>
  <c r="J75" i="4"/>
  <c r="H75" i="4"/>
  <c r="J79" i="5"/>
  <c r="A76" i="4"/>
  <c r="I82" i="2"/>
  <c r="K82" i="2"/>
  <c r="L82" i="2"/>
  <c r="G82" i="2"/>
  <c r="H82" i="2"/>
  <c r="J82" i="2"/>
  <c r="D82" i="2"/>
  <c r="F82" i="2"/>
  <c r="E82" i="2"/>
  <c r="F75" i="4"/>
  <c r="H79" i="5"/>
  <c r="F79" i="5"/>
  <c r="D75" i="4"/>
  <c r="G79" i="5"/>
  <c r="E75" i="4"/>
  <c r="D79" i="5"/>
  <c r="B75" i="4"/>
  <c r="K79" i="5"/>
  <c r="I75" i="4"/>
  <c r="E79" i="5"/>
  <c r="C75" i="4"/>
  <c r="G75" i="4"/>
  <c r="I79" i="5"/>
  <c r="H80" i="5" l="1"/>
  <c r="F76" i="4"/>
  <c r="A77" i="4"/>
  <c r="G83" i="2"/>
  <c r="K83" i="2"/>
  <c r="I83" i="2"/>
  <c r="J83" i="2"/>
  <c r="H83" i="2"/>
  <c r="L83" i="2"/>
  <c r="E83" i="2"/>
  <c r="D83" i="2"/>
  <c r="F83" i="2"/>
  <c r="G80" i="5"/>
  <c r="E76" i="4"/>
  <c r="L80" i="5"/>
  <c r="BV12" i="8" s="1"/>
  <c r="J76" i="4"/>
  <c r="C76" i="4"/>
  <c r="E80" i="5"/>
  <c r="K80" i="5"/>
  <c r="I76" i="4"/>
  <c r="D76" i="4"/>
  <c r="F80" i="5"/>
  <c r="D80" i="5"/>
  <c r="B76" i="4"/>
  <c r="I80" i="5"/>
  <c r="G76" i="4"/>
  <c r="J80" i="5"/>
  <c r="H76" i="4"/>
  <c r="E81" i="5" l="1"/>
  <c r="C77" i="4"/>
  <c r="G81" i="5"/>
  <c r="E77" i="4"/>
  <c r="J77" i="4"/>
  <c r="L81" i="5"/>
  <c r="BW12" i="8" s="1"/>
  <c r="D81" i="5"/>
  <c r="B77" i="4"/>
  <c r="F77" i="4"/>
  <c r="H81" i="5"/>
  <c r="A78" i="4"/>
  <c r="I84" i="2"/>
  <c r="K84" i="2"/>
  <c r="L84" i="2"/>
  <c r="G84" i="2"/>
  <c r="H84" i="2"/>
  <c r="J84" i="2"/>
  <c r="E84" i="2"/>
  <c r="F84" i="2"/>
  <c r="D84" i="2"/>
  <c r="J81" i="5"/>
  <c r="H77" i="4"/>
  <c r="F81" i="5"/>
  <c r="D77" i="4"/>
  <c r="I81" i="5"/>
  <c r="G77" i="4"/>
  <c r="I77" i="4"/>
  <c r="K81" i="5"/>
  <c r="K82" i="5" l="1"/>
  <c r="I78" i="4"/>
  <c r="I82" i="5"/>
  <c r="G78" i="4"/>
  <c r="F82" i="5"/>
  <c r="D78" i="4"/>
  <c r="E82" i="5"/>
  <c r="C78" i="4"/>
  <c r="J82" i="5"/>
  <c r="H78" i="4"/>
  <c r="H82" i="5"/>
  <c r="F78" i="4"/>
  <c r="A79" i="4"/>
  <c r="G85" i="2"/>
  <c r="I85" i="2"/>
  <c r="K85" i="2"/>
  <c r="J85" i="2"/>
  <c r="H85" i="2"/>
  <c r="L85" i="2"/>
  <c r="D85" i="2"/>
  <c r="E85" i="2"/>
  <c r="F85" i="2"/>
  <c r="G82" i="5"/>
  <c r="E78" i="4"/>
  <c r="D82" i="5"/>
  <c r="B78" i="4"/>
  <c r="L82" i="5"/>
  <c r="BX12" i="8" s="1"/>
  <c r="J78" i="4"/>
  <c r="F83" i="5" l="1"/>
  <c r="D79" i="4"/>
  <c r="I83" i="5"/>
  <c r="G79" i="4"/>
  <c r="E83" i="5"/>
  <c r="C79" i="4"/>
  <c r="D83" i="5"/>
  <c r="B79" i="4"/>
  <c r="G83" i="5"/>
  <c r="E79" i="4"/>
  <c r="L83" i="5"/>
  <c r="BY12" i="8" s="1"/>
  <c r="J79" i="4"/>
  <c r="H83" i="5"/>
  <c r="F79" i="4"/>
  <c r="A80" i="4"/>
  <c r="K86" i="2"/>
  <c r="I86" i="2"/>
  <c r="G86" i="2"/>
  <c r="H86" i="2"/>
  <c r="L86" i="2"/>
  <c r="J86" i="2"/>
  <c r="E86" i="2"/>
  <c r="F86" i="2"/>
  <c r="D86" i="2"/>
  <c r="H79" i="4"/>
  <c r="J83" i="5"/>
  <c r="K83" i="5"/>
  <c r="I79" i="4"/>
  <c r="J84" i="5" l="1"/>
  <c r="H80" i="4"/>
  <c r="L84" i="5"/>
  <c r="BZ12" i="8" s="1"/>
  <c r="J80" i="4"/>
  <c r="A81" i="4"/>
  <c r="I87" i="2"/>
  <c r="H87" i="2"/>
  <c r="S17" i="2" s="1"/>
  <c r="J87" i="2"/>
  <c r="K87" i="2"/>
  <c r="G87" i="2"/>
  <c r="L87" i="2"/>
  <c r="F87" i="2"/>
  <c r="D87" i="2"/>
  <c r="E87" i="2"/>
  <c r="H84" i="5"/>
  <c r="F80" i="4"/>
  <c r="D84" i="5"/>
  <c r="B80" i="4"/>
  <c r="E80" i="4"/>
  <c r="G84" i="5"/>
  <c r="D80" i="4"/>
  <c r="F84" i="5"/>
  <c r="I84" i="5"/>
  <c r="G80" i="4"/>
  <c r="E84" i="5"/>
  <c r="C80" i="4"/>
  <c r="P17" i="2"/>
  <c r="K84" i="5"/>
  <c r="I80" i="4"/>
  <c r="D14" i="13" l="1"/>
  <c r="E14" i="13" s="1"/>
  <c r="D154" i="15"/>
  <c r="J14" i="13"/>
  <c r="K14" i="13" s="1"/>
  <c r="G154" i="15"/>
  <c r="K85" i="5"/>
  <c r="I81" i="4"/>
  <c r="V17" i="2"/>
  <c r="J85" i="5"/>
  <c r="H81" i="4"/>
  <c r="E85" i="5"/>
  <c r="C81" i="4"/>
  <c r="D85" i="5"/>
  <c r="B81" i="4"/>
  <c r="F81" i="4"/>
  <c r="H85" i="5"/>
  <c r="F85" i="5"/>
  <c r="D81" i="4"/>
  <c r="G81" i="4"/>
  <c r="I85" i="5"/>
  <c r="L85" i="5"/>
  <c r="CA12" i="8" s="1"/>
  <c r="J81" i="4"/>
  <c r="G85" i="5"/>
  <c r="E81" i="4"/>
  <c r="A82" i="4"/>
  <c r="K88" i="2"/>
  <c r="I88" i="2"/>
  <c r="G88" i="2"/>
  <c r="H88" i="2"/>
  <c r="J88" i="2"/>
  <c r="L88" i="2"/>
  <c r="F88" i="2"/>
  <c r="E88" i="2"/>
  <c r="D88" i="2"/>
  <c r="P14" i="13" l="1"/>
  <c r="Q14" i="13" s="1"/>
  <c r="J154" i="15"/>
  <c r="I86" i="5"/>
  <c r="G82" i="4"/>
  <c r="K86" i="5"/>
  <c r="I82" i="4"/>
  <c r="L86" i="5"/>
  <c r="CB12" i="8" s="1"/>
  <c r="J82" i="4"/>
  <c r="E86" i="5"/>
  <c r="C82" i="4"/>
  <c r="F86" i="5"/>
  <c r="D82" i="4"/>
  <c r="H86" i="5"/>
  <c r="F82" i="4"/>
  <c r="H82" i="4"/>
  <c r="J86" i="5"/>
  <c r="A83" i="4"/>
  <c r="K89" i="2"/>
  <c r="I89" i="2"/>
  <c r="H89" i="2"/>
  <c r="G89" i="2"/>
  <c r="J89" i="2"/>
  <c r="L89" i="2"/>
  <c r="E89" i="2"/>
  <c r="D89" i="2"/>
  <c r="F89" i="2"/>
  <c r="B82" i="4"/>
  <c r="D86" i="5"/>
  <c r="G86" i="5"/>
  <c r="E82" i="4"/>
  <c r="I87" i="5" l="1"/>
  <c r="G83" i="4"/>
  <c r="E87" i="5"/>
  <c r="C83" i="4"/>
  <c r="F87" i="5"/>
  <c r="D83" i="4"/>
  <c r="D87" i="5"/>
  <c r="B83" i="4"/>
  <c r="J83" i="4"/>
  <c r="L87" i="5"/>
  <c r="CC12" i="8" s="1"/>
  <c r="J87" i="5"/>
  <c r="H83" i="4"/>
  <c r="K87" i="5"/>
  <c r="I83" i="4"/>
  <c r="A84" i="4"/>
  <c r="G90" i="2"/>
  <c r="I90" i="2"/>
  <c r="H90" i="2"/>
  <c r="K90" i="2"/>
  <c r="J90" i="2"/>
  <c r="L90" i="2"/>
  <c r="E90" i="2"/>
  <c r="F90" i="2"/>
  <c r="D90" i="2"/>
  <c r="G87" i="5"/>
  <c r="E83" i="4"/>
  <c r="H87" i="5"/>
  <c r="F83" i="4"/>
  <c r="D88" i="5" l="1"/>
  <c r="B84" i="4"/>
  <c r="H88" i="5"/>
  <c r="F84" i="4"/>
  <c r="K88" i="5"/>
  <c r="I84" i="4"/>
  <c r="F88" i="5"/>
  <c r="D84" i="4"/>
  <c r="I88" i="5"/>
  <c r="G84" i="4"/>
  <c r="E84" i="4"/>
  <c r="G88" i="5"/>
  <c r="E88" i="5"/>
  <c r="C84" i="4"/>
  <c r="L88" i="5"/>
  <c r="CD12" i="8" s="1"/>
  <c r="J84" i="4"/>
  <c r="J88" i="5"/>
  <c r="H84" i="4"/>
  <c r="A85" i="4"/>
  <c r="I91" i="2"/>
  <c r="K91" i="2"/>
  <c r="H91" i="2"/>
  <c r="J91" i="2"/>
  <c r="G91" i="2"/>
  <c r="L91" i="2"/>
  <c r="D91" i="2"/>
  <c r="E91" i="2"/>
  <c r="F91" i="2"/>
  <c r="K89" i="5" l="1"/>
  <c r="I85" i="4"/>
  <c r="E89" i="5"/>
  <c r="C85" i="4"/>
  <c r="D89" i="5"/>
  <c r="B85" i="4"/>
  <c r="I89" i="5"/>
  <c r="G85" i="4"/>
  <c r="L89" i="5"/>
  <c r="CE12" i="8" s="1"/>
  <c r="J85" i="4"/>
  <c r="G89" i="5"/>
  <c r="E85" i="4"/>
  <c r="A86" i="4"/>
  <c r="I92" i="2"/>
  <c r="G92" i="2"/>
  <c r="K92" i="2"/>
  <c r="H92" i="2"/>
  <c r="J92" i="2"/>
  <c r="L92" i="2"/>
  <c r="E92" i="2"/>
  <c r="D92" i="2"/>
  <c r="F92" i="2"/>
  <c r="J89" i="5"/>
  <c r="H85" i="4"/>
  <c r="F89" i="5"/>
  <c r="D85" i="4"/>
  <c r="F85" i="4"/>
  <c r="H89" i="5"/>
  <c r="D90" i="5" l="1"/>
  <c r="B86" i="4"/>
  <c r="G90" i="5"/>
  <c r="E86" i="4"/>
  <c r="E90" i="5"/>
  <c r="C86" i="4"/>
  <c r="I90" i="5"/>
  <c r="G86" i="4"/>
  <c r="F90" i="5"/>
  <c r="D86" i="4"/>
  <c r="J86" i="4"/>
  <c r="L90" i="5"/>
  <c r="CF12" i="8" s="1"/>
  <c r="J90" i="5"/>
  <c r="H86" i="4"/>
  <c r="A87" i="4"/>
  <c r="I93" i="2"/>
  <c r="K93" i="2"/>
  <c r="G93" i="2"/>
  <c r="H93" i="2"/>
  <c r="J93" i="2"/>
  <c r="L93" i="2"/>
  <c r="D93" i="2"/>
  <c r="E93" i="2"/>
  <c r="F93" i="2"/>
  <c r="H90" i="5"/>
  <c r="F86" i="4"/>
  <c r="K90" i="5"/>
  <c r="I86" i="4"/>
  <c r="D91" i="5" l="1"/>
  <c r="B87" i="4"/>
  <c r="I91" i="5"/>
  <c r="G87" i="4"/>
  <c r="L91" i="5"/>
  <c r="CG12" i="8" s="1"/>
  <c r="J87" i="4"/>
  <c r="J91" i="5"/>
  <c r="H87" i="4"/>
  <c r="A88" i="4"/>
  <c r="H94" i="2"/>
  <c r="I94" i="2"/>
  <c r="K94" i="2"/>
  <c r="J94" i="2"/>
  <c r="G94" i="2"/>
  <c r="L94" i="2"/>
  <c r="F94" i="2"/>
  <c r="E94" i="2"/>
  <c r="D94" i="2"/>
  <c r="E91" i="5"/>
  <c r="C87" i="4"/>
  <c r="H91" i="5"/>
  <c r="F87" i="4"/>
  <c r="F91" i="5"/>
  <c r="D87" i="4"/>
  <c r="G91" i="5"/>
  <c r="E87" i="4"/>
  <c r="R18" i="2"/>
  <c r="I87" i="4"/>
  <c r="K91" i="5"/>
  <c r="H15" i="13" l="1"/>
  <c r="F155" i="15"/>
  <c r="L92" i="5"/>
  <c r="CH12" i="8" s="1"/>
  <c r="J88" i="4"/>
  <c r="G92" i="5"/>
  <c r="E88" i="4"/>
  <c r="A89" i="4"/>
  <c r="K95" i="2"/>
  <c r="H95" i="2"/>
  <c r="I95" i="2"/>
  <c r="G95" i="2"/>
  <c r="L95" i="2"/>
  <c r="J95" i="2"/>
  <c r="D95" i="2"/>
  <c r="F95" i="2"/>
  <c r="E95" i="2"/>
  <c r="H88" i="4"/>
  <c r="J92" i="5"/>
  <c r="U18" i="2"/>
  <c r="K92" i="5"/>
  <c r="I88" i="4"/>
  <c r="C88" i="4"/>
  <c r="E92" i="5"/>
  <c r="G88" i="4"/>
  <c r="I92" i="5"/>
  <c r="D92" i="5"/>
  <c r="B88" i="4"/>
  <c r="F92" i="5"/>
  <c r="D88" i="4"/>
  <c r="Q18" i="2"/>
  <c r="H92" i="5"/>
  <c r="F88" i="4"/>
  <c r="F15" i="13" l="1"/>
  <c r="G15" i="13" s="1"/>
  <c r="T15" i="13" s="1"/>
  <c r="U15" i="13" s="1"/>
  <c r="E155" i="15"/>
  <c r="N15" i="13"/>
  <c r="O15" i="13" s="1"/>
  <c r="I155" i="15"/>
  <c r="J93" i="5"/>
  <c r="H89" i="4"/>
  <c r="L93" i="5"/>
  <c r="CI12" i="8" s="1"/>
  <c r="J89" i="4"/>
  <c r="A90" i="4"/>
  <c r="G96" i="2"/>
  <c r="I96" i="2"/>
  <c r="K96" i="2"/>
  <c r="H96" i="2"/>
  <c r="J96" i="2"/>
  <c r="L96" i="2"/>
  <c r="E96" i="2"/>
  <c r="F96" i="2"/>
  <c r="D96" i="2"/>
  <c r="G93" i="5"/>
  <c r="E89" i="4"/>
  <c r="E93" i="5"/>
  <c r="C89" i="4"/>
  <c r="I93" i="5"/>
  <c r="G89" i="4"/>
  <c r="F93" i="5"/>
  <c r="D89" i="4"/>
  <c r="H93" i="5"/>
  <c r="F89" i="4"/>
  <c r="D93" i="5"/>
  <c r="B89" i="4"/>
  <c r="K93" i="5"/>
  <c r="I89" i="4"/>
  <c r="J94" i="5" l="1"/>
  <c r="H90" i="4"/>
  <c r="A91" i="4"/>
  <c r="K97" i="2"/>
  <c r="H97" i="2"/>
  <c r="G97" i="2"/>
  <c r="I97" i="2"/>
  <c r="J97" i="2"/>
  <c r="L97" i="2"/>
  <c r="D97" i="2"/>
  <c r="E97" i="2"/>
  <c r="F97" i="2"/>
  <c r="H94" i="5"/>
  <c r="F90" i="4"/>
  <c r="D94" i="5"/>
  <c r="B90" i="4"/>
  <c r="K94" i="5"/>
  <c r="I90" i="4"/>
  <c r="I94" i="5"/>
  <c r="G90" i="4"/>
  <c r="F94" i="5"/>
  <c r="D90" i="4"/>
  <c r="E94" i="5"/>
  <c r="C90" i="4"/>
  <c r="G94" i="5"/>
  <c r="E90" i="4"/>
  <c r="L94" i="5"/>
  <c r="CJ12" i="8" s="1"/>
  <c r="J90" i="4"/>
  <c r="E95" i="5" l="1"/>
  <c r="C91" i="4"/>
  <c r="H95" i="5"/>
  <c r="F91" i="4"/>
  <c r="I91" i="4"/>
  <c r="K95" i="5"/>
  <c r="J91" i="4"/>
  <c r="L95" i="5"/>
  <c r="CK12" i="8" s="1"/>
  <c r="D95" i="5"/>
  <c r="B91" i="4"/>
  <c r="J95" i="5"/>
  <c r="H91" i="4"/>
  <c r="A92" i="4"/>
  <c r="I98" i="2"/>
  <c r="G98" i="2"/>
  <c r="K98" i="2"/>
  <c r="H98" i="2"/>
  <c r="J98" i="2"/>
  <c r="L98" i="2"/>
  <c r="E98" i="2"/>
  <c r="D98" i="2"/>
  <c r="F98" i="2"/>
  <c r="I95" i="5"/>
  <c r="G91" i="4"/>
  <c r="F95" i="5"/>
  <c r="D91" i="4"/>
  <c r="E91" i="4"/>
  <c r="G95" i="5"/>
  <c r="L96" i="5" l="1"/>
  <c r="CL12" i="8" s="1"/>
  <c r="J92" i="4"/>
  <c r="H92" i="4"/>
  <c r="J96" i="5"/>
  <c r="A93" i="4"/>
  <c r="I99" i="2"/>
  <c r="K99" i="2"/>
  <c r="G99" i="2"/>
  <c r="H99" i="2"/>
  <c r="J99" i="2"/>
  <c r="L99" i="2"/>
  <c r="F99" i="2"/>
  <c r="E99" i="2"/>
  <c r="D99" i="2"/>
  <c r="F92" i="4"/>
  <c r="H96" i="5"/>
  <c r="D92" i="4"/>
  <c r="F96" i="5"/>
  <c r="G96" i="5"/>
  <c r="E92" i="4"/>
  <c r="K96" i="5"/>
  <c r="I92" i="4"/>
  <c r="D96" i="5"/>
  <c r="B92" i="4"/>
  <c r="E96" i="5"/>
  <c r="C92" i="4"/>
  <c r="I96" i="5"/>
  <c r="G92" i="4"/>
  <c r="F97" i="5" l="1"/>
  <c r="D93" i="4"/>
  <c r="I97" i="5"/>
  <c r="G93" i="4"/>
  <c r="E97" i="5"/>
  <c r="C93" i="4"/>
  <c r="J93" i="4"/>
  <c r="L97" i="5"/>
  <c r="CM12" i="8" s="1"/>
  <c r="J97" i="5"/>
  <c r="H93" i="4"/>
  <c r="A94" i="4"/>
  <c r="H100" i="2"/>
  <c r="I100" i="2"/>
  <c r="K100" i="2"/>
  <c r="G100" i="2"/>
  <c r="J100" i="2"/>
  <c r="L100" i="2"/>
  <c r="F100" i="2"/>
  <c r="E100" i="2"/>
  <c r="D100" i="2"/>
  <c r="H97" i="5"/>
  <c r="F93" i="4"/>
  <c r="B93" i="4"/>
  <c r="D97" i="5"/>
  <c r="E93" i="4"/>
  <c r="G97" i="5"/>
  <c r="K97" i="5"/>
  <c r="I93" i="4"/>
  <c r="B94" i="4" l="1"/>
  <c r="D98" i="5"/>
  <c r="E98" i="5"/>
  <c r="C94" i="4"/>
  <c r="I98" i="5"/>
  <c r="G94" i="4"/>
  <c r="F94" i="4"/>
  <c r="H98" i="5"/>
  <c r="F98" i="5"/>
  <c r="D94" i="4"/>
  <c r="L98" i="5"/>
  <c r="CN12" i="8" s="1"/>
  <c r="J94" i="4"/>
  <c r="J98" i="5"/>
  <c r="H94" i="4"/>
  <c r="A95" i="4"/>
  <c r="K101" i="2"/>
  <c r="I101" i="2"/>
  <c r="H101" i="2"/>
  <c r="G101" i="2"/>
  <c r="J101" i="2"/>
  <c r="L101" i="2"/>
  <c r="F101" i="2"/>
  <c r="E101" i="2"/>
  <c r="D101" i="2"/>
  <c r="G98" i="5"/>
  <c r="E94" i="4"/>
  <c r="I94" i="4"/>
  <c r="K98" i="5"/>
  <c r="L99" i="5" l="1"/>
  <c r="CO12" i="8" s="1"/>
  <c r="J95" i="4"/>
  <c r="H95" i="4"/>
  <c r="J99" i="5"/>
  <c r="U19" i="2"/>
  <c r="A96" i="4"/>
  <c r="G102" i="2"/>
  <c r="K102" i="2"/>
  <c r="I102" i="2"/>
  <c r="J102" i="2"/>
  <c r="L102" i="2"/>
  <c r="H102" i="2"/>
  <c r="D102" i="2"/>
  <c r="F102" i="2"/>
  <c r="E102" i="2"/>
  <c r="F99" i="5"/>
  <c r="D95" i="4"/>
  <c r="G99" i="5"/>
  <c r="E95" i="4"/>
  <c r="E99" i="5"/>
  <c r="C95" i="4"/>
  <c r="D99" i="5"/>
  <c r="B95" i="4"/>
  <c r="H99" i="5"/>
  <c r="F95" i="4"/>
  <c r="I99" i="5"/>
  <c r="G95" i="4"/>
  <c r="T19" i="2"/>
  <c r="H156" i="15" s="1"/>
  <c r="K99" i="5"/>
  <c r="I95" i="4"/>
  <c r="N16" i="13" l="1"/>
  <c r="O16" i="13" s="1"/>
  <c r="I156" i="15"/>
  <c r="L16" i="13"/>
  <c r="M16" i="13" s="1"/>
  <c r="V16" i="13" s="1"/>
  <c r="X16" i="13" s="1"/>
  <c r="Z19" i="2"/>
  <c r="AA19" i="2" s="1"/>
  <c r="AB19" i="2" s="1"/>
  <c r="G90" i="15"/>
  <c r="L100" i="5"/>
  <c r="CP12" i="8" s="1"/>
  <c r="J96" i="4"/>
  <c r="A97" i="4"/>
  <c r="K103" i="2"/>
  <c r="I103" i="2"/>
  <c r="L103" i="2"/>
  <c r="G103" i="2"/>
  <c r="H103" i="2"/>
  <c r="J103" i="2"/>
  <c r="E103" i="2"/>
  <c r="F103" i="2"/>
  <c r="D103" i="2"/>
  <c r="H96" i="4"/>
  <c r="J100" i="5"/>
  <c r="I100" i="5"/>
  <c r="G96" i="4"/>
  <c r="K100" i="5"/>
  <c r="I96" i="4"/>
  <c r="E100" i="5"/>
  <c r="C96" i="4"/>
  <c r="D100" i="5"/>
  <c r="B96" i="4"/>
  <c r="G100" i="5"/>
  <c r="E96" i="4"/>
  <c r="F100" i="5"/>
  <c r="D96" i="4"/>
  <c r="H100" i="5"/>
  <c r="F96" i="4"/>
  <c r="G91" i="15" l="1"/>
  <c r="F101" i="5"/>
  <c r="D97" i="4"/>
  <c r="I101" i="5"/>
  <c r="G97" i="4"/>
  <c r="E101" i="5"/>
  <c r="C97" i="4"/>
  <c r="K101" i="5"/>
  <c r="I97" i="4"/>
  <c r="J101" i="5"/>
  <c r="H97" i="4"/>
  <c r="H101" i="5"/>
  <c r="F97" i="4"/>
  <c r="A98" i="4"/>
  <c r="G104" i="2"/>
  <c r="I104" i="2"/>
  <c r="H104" i="2"/>
  <c r="J104" i="2"/>
  <c r="K104" i="2"/>
  <c r="L104" i="2"/>
  <c r="F104" i="2"/>
  <c r="D104" i="2"/>
  <c r="E104" i="2"/>
  <c r="E97" i="4"/>
  <c r="G101" i="5"/>
  <c r="D101" i="5"/>
  <c r="B97" i="4"/>
  <c r="L101" i="5"/>
  <c r="CQ12" i="8" s="1"/>
  <c r="J97" i="4"/>
  <c r="J102" i="5" l="1"/>
  <c r="H98" i="4"/>
  <c r="E102" i="5"/>
  <c r="C98" i="4"/>
  <c r="F98" i="4"/>
  <c r="H102" i="5"/>
  <c r="D102" i="5"/>
  <c r="B98" i="4"/>
  <c r="I102" i="5"/>
  <c r="G98" i="4"/>
  <c r="F102" i="5"/>
  <c r="D98" i="4"/>
  <c r="G102" i="5"/>
  <c r="E98" i="4"/>
  <c r="L102" i="5"/>
  <c r="CR12" i="8" s="1"/>
  <c r="J98" i="4"/>
  <c r="K102" i="5"/>
  <c r="I98" i="4"/>
  <c r="A99" i="4"/>
  <c r="I105" i="2"/>
  <c r="K105" i="2"/>
  <c r="H105" i="2"/>
  <c r="G105" i="2"/>
  <c r="J105" i="2"/>
  <c r="L105" i="2"/>
  <c r="D105" i="2"/>
  <c r="E105" i="2"/>
  <c r="F105" i="2"/>
  <c r="E103" i="5" l="1"/>
  <c r="C99" i="4"/>
  <c r="A100" i="4"/>
  <c r="I106" i="2"/>
  <c r="G106" i="2"/>
  <c r="K106" i="2"/>
  <c r="J106" i="2"/>
  <c r="H106" i="2"/>
  <c r="L106" i="2"/>
  <c r="E106" i="2"/>
  <c r="D106" i="2"/>
  <c r="F106" i="2"/>
  <c r="D99" i="4"/>
  <c r="F103" i="5"/>
  <c r="H103" i="5"/>
  <c r="F99" i="4"/>
  <c r="K103" i="5"/>
  <c r="I99" i="4"/>
  <c r="D103" i="5"/>
  <c r="B99" i="4"/>
  <c r="I103" i="5"/>
  <c r="G99" i="4"/>
  <c r="L103" i="5"/>
  <c r="CS12" i="8" s="1"/>
  <c r="J99" i="4"/>
  <c r="H99" i="4"/>
  <c r="J103" i="5"/>
  <c r="G103" i="5"/>
  <c r="E99" i="4"/>
  <c r="J100" i="4" l="1"/>
  <c r="L104" i="5"/>
  <c r="CT12" i="8" s="1"/>
  <c r="H104" i="5"/>
  <c r="F100" i="4"/>
  <c r="A101" i="4"/>
  <c r="I107" i="2"/>
  <c r="H107" i="2"/>
  <c r="G107" i="2"/>
  <c r="K107" i="2"/>
  <c r="J107" i="2"/>
  <c r="L107" i="2"/>
  <c r="F107" i="2"/>
  <c r="E107" i="2"/>
  <c r="D107" i="2"/>
  <c r="E104" i="5"/>
  <c r="C100" i="4"/>
  <c r="J104" i="5"/>
  <c r="H100" i="4"/>
  <c r="F104" i="5"/>
  <c r="D100" i="4"/>
  <c r="I100" i="4"/>
  <c r="K104" i="5"/>
  <c r="D104" i="5"/>
  <c r="B100" i="4"/>
  <c r="G104" i="5"/>
  <c r="E100" i="4"/>
  <c r="G100" i="4"/>
  <c r="I104" i="5"/>
  <c r="L105" i="5" l="1"/>
  <c r="CU12" i="8" s="1"/>
  <c r="J101" i="4"/>
  <c r="J105" i="5"/>
  <c r="H101" i="4"/>
  <c r="A102" i="4"/>
  <c r="K108" i="2"/>
  <c r="V20" i="2" s="1"/>
  <c r="I108" i="2"/>
  <c r="H108" i="2"/>
  <c r="S20" i="2" s="1"/>
  <c r="G108" i="2"/>
  <c r="J108" i="2"/>
  <c r="L108" i="2"/>
  <c r="D108" i="2"/>
  <c r="E108" i="2"/>
  <c r="F108" i="2"/>
  <c r="K105" i="5"/>
  <c r="I101" i="4"/>
  <c r="D105" i="5"/>
  <c r="B101" i="4"/>
  <c r="E101" i="4"/>
  <c r="G105" i="5"/>
  <c r="E105" i="5"/>
  <c r="C101" i="4"/>
  <c r="H105" i="5"/>
  <c r="F101" i="4"/>
  <c r="F105" i="5"/>
  <c r="D101" i="4"/>
  <c r="G101" i="4"/>
  <c r="I105" i="5"/>
  <c r="P17" i="13" l="1"/>
  <c r="Q17" i="13" s="1"/>
  <c r="J157" i="15"/>
  <c r="J17" i="13"/>
  <c r="K17" i="13" s="1"/>
  <c r="G157" i="15"/>
  <c r="J102" i="4"/>
  <c r="L106" i="5"/>
  <c r="CV12" i="8" s="1"/>
  <c r="J106" i="5"/>
  <c r="H102" i="4"/>
  <c r="A103" i="4"/>
  <c r="G109" i="2"/>
  <c r="I109" i="2"/>
  <c r="K109" i="2"/>
  <c r="L109" i="2"/>
  <c r="H109" i="2"/>
  <c r="J109" i="2"/>
  <c r="E109" i="2"/>
  <c r="F109" i="2"/>
  <c r="D109" i="2"/>
  <c r="G106" i="5"/>
  <c r="E102" i="4"/>
  <c r="R20" i="2"/>
  <c r="F106" i="5"/>
  <c r="D102" i="4"/>
  <c r="Q20" i="2"/>
  <c r="F102" i="4"/>
  <c r="H106" i="5"/>
  <c r="E106" i="5"/>
  <c r="C102" i="4"/>
  <c r="I106" i="5"/>
  <c r="G102" i="4"/>
  <c r="T20" i="2"/>
  <c r="H157" i="15" s="1"/>
  <c r="D106" i="5"/>
  <c r="B102" i="4"/>
  <c r="K106" i="5"/>
  <c r="I102" i="4"/>
  <c r="J169" i="15" l="1"/>
  <c r="F17" i="13"/>
  <c r="G17" i="13" s="1"/>
  <c r="Y17" i="13" s="1"/>
  <c r="E157" i="15"/>
  <c r="H17" i="13"/>
  <c r="F157" i="15"/>
  <c r="H169" i="15"/>
  <c r="L17" i="13"/>
  <c r="M17" i="13" s="1"/>
  <c r="V17" i="13" s="1"/>
  <c r="Z20" i="2"/>
  <c r="AA20" i="2" s="1"/>
  <c r="AB20" i="2" s="1"/>
  <c r="H90" i="15"/>
  <c r="T17" i="13"/>
  <c r="J107" i="5"/>
  <c r="H103" i="4"/>
  <c r="H107" i="5"/>
  <c r="F103" i="4"/>
  <c r="A104" i="4"/>
  <c r="K110" i="2"/>
  <c r="H110" i="2"/>
  <c r="I110" i="2"/>
  <c r="J110" i="2"/>
  <c r="G110" i="2"/>
  <c r="L110" i="2"/>
  <c r="F110" i="2"/>
  <c r="D110" i="2"/>
  <c r="E110" i="2"/>
  <c r="J103" i="4"/>
  <c r="L107" i="5"/>
  <c r="CW12" i="8" s="1"/>
  <c r="K107" i="5"/>
  <c r="I103" i="4"/>
  <c r="F107" i="5"/>
  <c r="D103" i="4"/>
  <c r="I107" i="5"/>
  <c r="G103" i="4"/>
  <c r="D107" i="5"/>
  <c r="B103" i="4"/>
  <c r="E107" i="5"/>
  <c r="C103" i="4"/>
  <c r="G107" i="5"/>
  <c r="E103" i="4"/>
  <c r="H91" i="15" l="1"/>
  <c r="F108" i="5"/>
  <c r="D104" i="4"/>
  <c r="G108" i="5"/>
  <c r="E104" i="4"/>
  <c r="A105" i="4"/>
  <c r="I111" i="2"/>
  <c r="K111" i="2"/>
  <c r="G111" i="2"/>
  <c r="J111" i="2"/>
  <c r="H111" i="2"/>
  <c r="L111" i="2"/>
  <c r="F111" i="2"/>
  <c r="E111" i="2"/>
  <c r="D111" i="2"/>
  <c r="J108" i="5"/>
  <c r="H104" i="4"/>
  <c r="E108" i="5"/>
  <c r="C104" i="4"/>
  <c r="I108" i="5"/>
  <c r="G104" i="4"/>
  <c r="D108" i="5"/>
  <c r="B104" i="4"/>
  <c r="H108" i="5"/>
  <c r="F104" i="4"/>
  <c r="I104" i="4"/>
  <c r="K108" i="5"/>
  <c r="L108" i="5"/>
  <c r="CX12" i="8" s="1"/>
  <c r="J104" i="4"/>
  <c r="L109" i="5" l="1"/>
  <c r="CY12" i="8" s="1"/>
  <c r="J105" i="4"/>
  <c r="H109" i="5"/>
  <c r="F105" i="4"/>
  <c r="A106" i="4"/>
  <c r="K112" i="2"/>
  <c r="I112" i="2"/>
  <c r="J112" i="2"/>
  <c r="H112" i="2"/>
  <c r="G112" i="2"/>
  <c r="L112" i="2"/>
  <c r="E112" i="2"/>
  <c r="D112" i="2"/>
  <c r="F112" i="2"/>
  <c r="H105" i="4"/>
  <c r="J109" i="5"/>
  <c r="E109" i="5"/>
  <c r="C105" i="4"/>
  <c r="D109" i="5"/>
  <c r="B105" i="4"/>
  <c r="G109" i="5"/>
  <c r="E105" i="4"/>
  <c r="K109" i="5"/>
  <c r="I105" i="4"/>
  <c r="F109" i="5"/>
  <c r="D105" i="4"/>
  <c r="I109" i="5"/>
  <c r="G105" i="4"/>
  <c r="G110" i="5" l="1"/>
  <c r="E106" i="4"/>
  <c r="A107" i="4"/>
  <c r="I113" i="2"/>
  <c r="G113" i="2"/>
  <c r="K113" i="2"/>
  <c r="H113" i="2"/>
  <c r="J113" i="2"/>
  <c r="L113" i="2"/>
  <c r="F113" i="2"/>
  <c r="E113" i="2"/>
  <c r="D113" i="2"/>
  <c r="H110" i="5"/>
  <c r="F106" i="4"/>
  <c r="J110" i="5"/>
  <c r="H106" i="4"/>
  <c r="F110" i="5"/>
  <c r="D106" i="4"/>
  <c r="D110" i="5"/>
  <c r="B106" i="4"/>
  <c r="I110" i="5"/>
  <c r="G106" i="4"/>
  <c r="E110" i="5"/>
  <c r="C106" i="4"/>
  <c r="K110" i="5"/>
  <c r="I106" i="4"/>
  <c r="L110" i="5"/>
  <c r="CZ12" i="8" s="1"/>
  <c r="J106" i="4"/>
  <c r="E111" i="5" l="1"/>
  <c r="C107" i="4"/>
  <c r="G111" i="5"/>
  <c r="E107" i="4"/>
  <c r="F111" i="5"/>
  <c r="D107" i="4"/>
  <c r="I111" i="5"/>
  <c r="G107" i="4"/>
  <c r="L111" i="5"/>
  <c r="DA12" i="8" s="1"/>
  <c r="J107" i="4"/>
  <c r="J111" i="5"/>
  <c r="H107" i="4"/>
  <c r="A108" i="4"/>
  <c r="I114" i="2"/>
  <c r="H114" i="2"/>
  <c r="K114" i="2"/>
  <c r="G114" i="2"/>
  <c r="L114" i="2"/>
  <c r="J114" i="2"/>
  <c r="D114" i="2"/>
  <c r="E114" i="2"/>
  <c r="F114" i="2"/>
  <c r="H111" i="5"/>
  <c r="F107" i="4"/>
  <c r="D111" i="5"/>
  <c r="B107" i="4"/>
  <c r="K111" i="5"/>
  <c r="I107" i="4"/>
  <c r="E112" i="5" l="1"/>
  <c r="C108" i="4"/>
  <c r="H112" i="5"/>
  <c r="F108" i="4"/>
  <c r="G108" i="4"/>
  <c r="I112" i="5"/>
  <c r="D112" i="5"/>
  <c r="B108" i="4"/>
  <c r="J112" i="5"/>
  <c r="H108" i="4"/>
  <c r="J108" i="4"/>
  <c r="L112" i="5"/>
  <c r="DB12" i="8" s="1"/>
  <c r="A109" i="4"/>
  <c r="G115" i="2"/>
  <c r="I115" i="2"/>
  <c r="K115" i="2"/>
  <c r="H115" i="2"/>
  <c r="S21" i="2" s="1"/>
  <c r="J115" i="2"/>
  <c r="L115" i="2"/>
  <c r="E115" i="2"/>
  <c r="F115" i="2"/>
  <c r="D115" i="2"/>
  <c r="E108" i="4"/>
  <c r="G112" i="5"/>
  <c r="F112" i="5"/>
  <c r="D108" i="4"/>
  <c r="I108" i="4"/>
  <c r="K112" i="5"/>
  <c r="J18" i="13" l="1"/>
  <c r="K18" i="13" s="1"/>
  <c r="G158" i="15"/>
  <c r="F113" i="5"/>
  <c r="D109" i="4"/>
  <c r="E113" i="5"/>
  <c r="C109" i="4"/>
  <c r="G113" i="5"/>
  <c r="E109" i="4"/>
  <c r="J109" i="4"/>
  <c r="L113" i="5"/>
  <c r="DC12" i="8" s="1"/>
  <c r="D113" i="5"/>
  <c r="B109" i="4"/>
  <c r="H109" i="4"/>
  <c r="J113" i="5"/>
  <c r="A110" i="4"/>
  <c r="K116" i="2"/>
  <c r="H116" i="2"/>
  <c r="I116" i="2"/>
  <c r="G116" i="2"/>
  <c r="J116" i="2"/>
  <c r="L116" i="2"/>
  <c r="D116" i="2"/>
  <c r="F116" i="2"/>
  <c r="E116" i="2"/>
  <c r="I113" i="5"/>
  <c r="G109" i="4"/>
  <c r="F109" i="4"/>
  <c r="H113" i="5"/>
  <c r="K113" i="5"/>
  <c r="I109" i="4"/>
  <c r="G169" i="15" l="1"/>
  <c r="E114" i="5"/>
  <c r="C110" i="4"/>
  <c r="I114" i="5"/>
  <c r="G110" i="4"/>
  <c r="K114" i="5"/>
  <c r="I110" i="4"/>
  <c r="J110" i="4"/>
  <c r="L114" i="5"/>
  <c r="DD12" i="8" s="1"/>
  <c r="F114" i="5"/>
  <c r="D110" i="4"/>
  <c r="J114" i="5"/>
  <c r="H110" i="4"/>
  <c r="A111" i="4"/>
  <c r="I117" i="2"/>
  <c r="K117" i="2"/>
  <c r="G117" i="2"/>
  <c r="J117" i="2"/>
  <c r="L117" i="2"/>
  <c r="H117" i="2"/>
  <c r="E117" i="2"/>
  <c r="E5" i="2" s="1"/>
  <c r="F117" i="2"/>
  <c r="D117" i="2"/>
  <c r="H114" i="5"/>
  <c r="F110" i="4"/>
  <c r="D114" i="5"/>
  <c r="B110" i="4"/>
  <c r="G114" i="5"/>
  <c r="E110" i="4"/>
  <c r="J115" i="5" l="1"/>
  <c r="H111" i="4"/>
  <c r="F115" i="5"/>
  <c r="D111" i="4"/>
  <c r="D115" i="5"/>
  <c r="B111" i="4"/>
  <c r="G115" i="5"/>
  <c r="E111" i="4"/>
  <c r="I111" i="4"/>
  <c r="K115" i="5"/>
  <c r="E115" i="5"/>
  <c r="C111" i="4"/>
  <c r="I115" i="5"/>
  <c r="G111" i="4"/>
  <c r="H115" i="5"/>
  <c r="F111" i="4"/>
  <c r="J111" i="4"/>
  <c r="L115" i="5"/>
  <c r="DE12" i="8" s="1"/>
  <c r="A112" i="4"/>
  <c r="K118" i="2"/>
  <c r="G118" i="2"/>
  <c r="I118" i="2"/>
  <c r="H118" i="2"/>
  <c r="J118" i="2"/>
  <c r="L118" i="2"/>
  <c r="D118" i="2"/>
  <c r="F118" i="2"/>
  <c r="E116" i="5" l="1"/>
  <c r="C112" i="4"/>
  <c r="H116" i="5"/>
  <c r="F112" i="4"/>
  <c r="I116" i="5"/>
  <c r="G112" i="4"/>
  <c r="F116" i="5"/>
  <c r="D112" i="4"/>
  <c r="G116" i="5"/>
  <c r="E112" i="4"/>
  <c r="K116" i="5"/>
  <c r="I112" i="4"/>
  <c r="L116" i="5"/>
  <c r="DF12" i="8" s="1"/>
  <c r="J112" i="4"/>
  <c r="D116" i="5"/>
  <c r="B112" i="4"/>
  <c r="J116" i="5"/>
  <c r="H112" i="4"/>
  <c r="A113" i="4"/>
  <c r="G119" i="2"/>
  <c r="K119" i="2"/>
  <c r="I119" i="2"/>
  <c r="H119" i="2"/>
  <c r="L119" i="2"/>
  <c r="J119" i="2"/>
  <c r="D119" i="2"/>
  <c r="F119" i="2"/>
  <c r="G113" i="4" l="1"/>
  <c r="I117" i="5"/>
  <c r="D117" i="5"/>
  <c r="B113" i="4"/>
  <c r="E117" i="5"/>
  <c r="C113" i="4"/>
  <c r="G117" i="5"/>
  <c r="E113" i="4"/>
  <c r="F117" i="5"/>
  <c r="D113" i="4"/>
  <c r="J117" i="5"/>
  <c r="H113" i="4"/>
  <c r="L117" i="5"/>
  <c r="DG12" i="8" s="1"/>
  <c r="J113" i="4"/>
  <c r="A114" i="4"/>
  <c r="I120" i="2"/>
  <c r="K120" i="2"/>
  <c r="L120" i="2"/>
  <c r="H120" i="2"/>
  <c r="G120" i="2"/>
  <c r="J120" i="2"/>
  <c r="F120" i="2"/>
  <c r="D120" i="2"/>
  <c r="K117" i="5"/>
  <c r="I113" i="4"/>
  <c r="F113" i="4"/>
  <c r="H117" i="5"/>
  <c r="I118" i="5" l="1"/>
  <c r="G114" i="4"/>
  <c r="J118" i="5"/>
  <c r="H114" i="4"/>
  <c r="F118" i="5"/>
  <c r="D114" i="4"/>
  <c r="E114" i="4"/>
  <c r="G118" i="5"/>
  <c r="A115" i="4"/>
  <c r="G121" i="2"/>
  <c r="I121" i="2"/>
  <c r="H121" i="2"/>
  <c r="J121" i="2"/>
  <c r="K121" i="2"/>
  <c r="L121" i="2"/>
  <c r="D121" i="2"/>
  <c r="F121" i="2"/>
  <c r="E118" i="5"/>
  <c r="C114" i="4"/>
  <c r="H118" i="5"/>
  <c r="F114" i="4"/>
  <c r="L118" i="5"/>
  <c r="DH12" i="8" s="1"/>
  <c r="J114" i="4"/>
  <c r="D118" i="5"/>
  <c r="B114" i="4"/>
  <c r="K118" i="5"/>
  <c r="I114" i="4"/>
  <c r="E119" i="5" l="1"/>
  <c r="C115" i="4"/>
  <c r="D119" i="5"/>
  <c r="B115" i="4"/>
  <c r="G119" i="5"/>
  <c r="E115" i="4"/>
  <c r="L119" i="5"/>
  <c r="DI12" i="8" s="1"/>
  <c r="J115" i="4"/>
  <c r="K119" i="5"/>
  <c r="I115" i="4"/>
  <c r="A116" i="4"/>
  <c r="K122" i="2"/>
  <c r="I122" i="2"/>
  <c r="H122" i="2"/>
  <c r="G122" i="2"/>
  <c r="L122" i="2"/>
  <c r="J122" i="2"/>
  <c r="F122" i="2"/>
  <c r="D122" i="2"/>
  <c r="J119" i="5"/>
  <c r="H115" i="4"/>
  <c r="D115" i="4"/>
  <c r="F119" i="5"/>
  <c r="F115" i="4"/>
  <c r="H119" i="5"/>
  <c r="G115" i="4"/>
  <c r="I119" i="5"/>
  <c r="H116" i="4" l="1"/>
  <c r="J120" i="5"/>
  <c r="L120" i="5"/>
  <c r="DJ12" i="8" s="1"/>
  <c r="J116" i="4"/>
  <c r="A117" i="4"/>
  <c r="I123" i="2"/>
  <c r="J123" i="2"/>
  <c r="G123" i="2"/>
  <c r="H123" i="2"/>
  <c r="K123" i="2"/>
  <c r="L123" i="2"/>
  <c r="D123" i="2"/>
  <c r="F123" i="2"/>
  <c r="E120" i="5"/>
  <c r="C116" i="4"/>
  <c r="G120" i="5"/>
  <c r="E116" i="4"/>
  <c r="B116" i="4"/>
  <c r="D120" i="5"/>
  <c r="H120" i="5"/>
  <c r="F116" i="4"/>
  <c r="F120" i="5"/>
  <c r="D116" i="4"/>
  <c r="I120" i="5"/>
  <c r="G116" i="4"/>
  <c r="K120" i="5"/>
  <c r="I116" i="4"/>
  <c r="L121" i="5" l="1"/>
  <c r="DK12" i="8" s="1"/>
  <c r="J117" i="4"/>
  <c r="I117" i="4"/>
  <c r="K121" i="5"/>
  <c r="A118" i="4"/>
  <c r="K124" i="2"/>
  <c r="I124" i="2"/>
  <c r="G124" i="2"/>
  <c r="J124" i="2"/>
  <c r="H124" i="2"/>
  <c r="L124" i="2"/>
  <c r="F124" i="2"/>
  <c r="D124" i="2"/>
  <c r="H121" i="5"/>
  <c r="F117" i="4"/>
  <c r="G121" i="5"/>
  <c r="E117" i="4"/>
  <c r="F121" i="5"/>
  <c r="D117" i="4"/>
  <c r="J121" i="5"/>
  <c r="H117" i="4"/>
  <c r="C117" i="4"/>
  <c r="E121" i="5"/>
  <c r="D121" i="5"/>
  <c r="B117" i="4"/>
  <c r="I121" i="5"/>
  <c r="G117" i="4"/>
  <c r="L122" i="5" l="1"/>
  <c r="DL12" i="8" s="1"/>
  <c r="J118" i="4"/>
  <c r="H122" i="5"/>
  <c r="F118" i="4"/>
  <c r="A119" i="4"/>
  <c r="K125" i="2"/>
  <c r="I125" i="2"/>
  <c r="G125" i="2"/>
  <c r="J125" i="2"/>
  <c r="H125" i="2"/>
  <c r="L125" i="2"/>
  <c r="D125" i="2"/>
  <c r="F125" i="2"/>
  <c r="J122" i="5"/>
  <c r="H118" i="4"/>
  <c r="D122" i="5"/>
  <c r="B118" i="4"/>
  <c r="G122" i="5"/>
  <c r="E118" i="4"/>
  <c r="E122" i="5"/>
  <c r="C118" i="4"/>
  <c r="I122" i="5"/>
  <c r="G118" i="4"/>
  <c r="F122" i="5"/>
  <c r="D118" i="4"/>
  <c r="K122" i="5"/>
  <c r="I118" i="4"/>
  <c r="L123" i="5" l="1"/>
  <c r="DM12" i="8" s="1"/>
  <c r="J119" i="4"/>
  <c r="H123" i="5"/>
  <c r="F119" i="4"/>
  <c r="A120" i="4"/>
  <c r="K126" i="2"/>
  <c r="G126" i="2"/>
  <c r="I126" i="2"/>
  <c r="H126" i="2"/>
  <c r="J126" i="2"/>
  <c r="L126" i="2"/>
  <c r="F126" i="2"/>
  <c r="D126" i="2"/>
  <c r="J123" i="5"/>
  <c r="H119" i="4"/>
  <c r="F123" i="5"/>
  <c r="D119" i="4"/>
  <c r="G123" i="5"/>
  <c r="E119" i="4"/>
  <c r="D123" i="5"/>
  <c r="B119" i="4"/>
  <c r="I123" i="5"/>
  <c r="G119" i="4"/>
  <c r="E123" i="5"/>
  <c r="C119" i="4"/>
  <c r="K123" i="5"/>
  <c r="I119" i="4"/>
  <c r="L124" i="5" l="1"/>
  <c r="DN12" i="8" s="1"/>
  <c r="J120" i="4"/>
  <c r="J124" i="5"/>
  <c r="H120" i="4"/>
  <c r="A121" i="4"/>
  <c r="I127" i="2"/>
  <c r="K127" i="2"/>
  <c r="H127" i="2"/>
  <c r="J127" i="2"/>
  <c r="G127" i="2"/>
  <c r="L127" i="2"/>
  <c r="D127" i="2"/>
  <c r="F127" i="2"/>
  <c r="H124" i="5"/>
  <c r="F120" i="4"/>
  <c r="D124" i="5"/>
  <c r="B120" i="4"/>
  <c r="G120" i="4"/>
  <c r="I124" i="5"/>
  <c r="F124" i="5"/>
  <c r="D120" i="4"/>
  <c r="G124" i="5"/>
  <c r="E120" i="4"/>
  <c r="E124" i="5"/>
  <c r="C120" i="4"/>
  <c r="K124" i="5"/>
  <c r="I120" i="4"/>
  <c r="L125" i="5" l="1"/>
  <c r="DO12" i="8" s="1"/>
  <c r="J121" i="4"/>
  <c r="G125" i="5"/>
  <c r="E121" i="4"/>
  <c r="A122" i="4"/>
  <c r="I128" i="2"/>
  <c r="G128" i="2"/>
  <c r="K128" i="2"/>
  <c r="J128" i="2"/>
  <c r="H128" i="2"/>
  <c r="L128" i="2"/>
  <c r="D128" i="2"/>
  <c r="F128" i="2"/>
  <c r="J125" i="5"/>
  <c r="H121" i="4"/>
  <c r="F125" i="5"/>
  <c r="D121" i="4"/>
  <c r="H125" i="5"/>
  <c r="F121" i="4"/>
  <c r="I121" i="4"/>
  <c r="K125" i="5"/>
  <c r="E125" i="5"/>
  <c r="C121" i="4"/>
  <c r="D125" i="5"/>
  <c r="B121" i="4"/>
  <c r="I125" i="5"/>
  <c r="G121" i="4"/>
  <c r="L126" i="5" l="1"/>
  <c r="DP12" i="8" s="1"/>
  <c r="J122" i="4"/>
  <c r="H126" i="5"/>
  <c r="F122" i="4"/>
  <c r="A123" i="4"/>
  <c r="I129" i="2"/>
  <c r="K129" i="2"/>
  <c r="G129" i="2"/>
  <c r="H129" i="2"/>
  <c r="J129" i="2"/>
  <c r="L129" i="2"/>
  <c r="D129" i="2"/>
  <c r="F129" i="2"/>
  <c r="H122" i="4"/>
  <c r="J126" i="5"/>
  <c r="K126" i="5"/>
  <c r="I122" i="4"/>
  <c r="F126" i="5"/>
  <c r="D122" i="4"/>
  <c r="D126" i="5"/>
  <c r="B122" i="4"/>
  <c r="G126" i="5"/>
  <c r="E122" i="4"/>
  <c r="E126" i="5"/>
  <c r="C122" i="4"/>
  <c r="G122" i="4"/>
  <c r="I126" i="5"/>
  <c r="L127" i="5" l="1"/>
  <c r="DQ12" i="8" s="1"/>
  <c r="J123" i="4"/>
  <c r="J127" i="5"/>
  <c r="H123" i="4"/>
  <c r="A124" i="4"/>
  <c r="H130" i="2"/>
  <c r="I130" i="2"/>
  <c r="K130" i="2"/>
  <c r="G130" i="2"/>
  <c r="J130" i="2"/>
  <c r="L130" i="2"/>
  <c r="F130" i="2"/>
  <c r="D130" i="2"/>
  <c r="H127" i="5"/>
  <c r="F123" i="4"/>
  <c r="F127" i="5"/>
  <c r="D123" i="4"/>
  <c r="E123" i="4"/>
  <c r="G127" i="5"/>
  <c r="K127" i="5"/>
  <c r="I123" i="4"/>
  <c r="E127" i="5"/>
  <c r="C123" i="4"/>
  <c r="D127" i="5"/>
  <c r="B123" i="4"/>
  <c r="I127" i="5"/>
  <c r="G123" i="4"/>
  <c r="L128" i="5" l="1"/>
  <c r="DR12" i="8" s="1"/>
  <c r="J124" i="4"/>
  <c r="J128" i="5"/>
  <c r="H124" i="4"/>
  <c r="A125" i="4"/>
  <c r="K131" i="2"/>
  <c r="H131" i="2"/>
  <c r="I131" i="2"/>
  <c r="G131" i="2"/>
  <c r="L131" i="2"/>
  <c r="J131" i="2"/>
  <c r="D131" i="2"/>
  <c r="F131" i="2"/>
  <c r="G128" i="5"/>
  <c r="E124" i="4"/>
  <c r="D128" i="5"/>
  <c r="B124" i="4"/>
  <c r="K128" i="5"/>
  <c r="I124" i="4"/>
  <c r="E128" i="5"/>
  <c r="C124" i="4"/>
  <c r="G124" i="4"/>
  <c r="I128" i="5"/>
  <c r="F128" i="5"/>
  <c r="D124" i="4"/>
  <c r="F124" i="4"/>
  <c r="H128" i="5"/>
  <c r="J129" i="5" l="1"/>
  <c r="H125" i="4"/>
  <c r="J125" i="4"/>
  <c r="L129" i="5"/>
  <c r="DS12" i="8" s="1"/>
  <c r="A126" i="4"/>
  <c r="G132" i="2"/>
  <c r="I132" i="2"/>
  <c r="K132" i="2"/>
  <c r="H132" i="2"/>
  <c r="J132" i="2"/>
  <c r="L132" i="2"/>
  <c r="F132" i="2"/>
  <c r="D132" i="2"/>
  <c r="E125" i="4"/>
  <c r="G129" i="5"/>
  <c r="E129" i="5"/>
  <c r="C125" i="4"/>
  <c r="I129" i="5"/>
  <c r="G125" i="4"/>
  <c r="F129" i="5"/>
  <c r="D125" i="4"/>
  <c r="F125" i="4"/>
  <c r="H129" i="5"/>
  <c r="D129" i="5"/>
  <c r="B125" i="4"/>
  <c r="I125" i="4"/>
  <c r="K129" i="5"/>
  <c r="L130" i="5" l="1"/>
  <c r="DT12" i="8" s="1"/>
  <c r="J126" i="4"/>
  <c r="H126" i="4"/>
  <c r="J130" i="5"/>
  <c r="A127" i="4"/>
  <c r="K133" i="2"/>
  <c r="H133" i="2"/>
  <c r="G133" i="2"/>
  <c r="I133" i="2"/>
  <c r="J133" i="2"/>
  <c r="L133" i="2"/>
  <c r="D133" i="2"/>
  <c r="F133" i="2"/>
  <c r="F126" i="4"/>
  <c r="H130" i="5"/>
  <c r="K130" i="5"/>
  <c r="I126" i="4"/>
  <c r="F130" i="5"/>
  <c r="D126" i="4"/>
  <c r="I130" i="5"/>
  <c r="G126" i="4"/>
  <c r="D130" i="5"/>
  <c r="B126" i="4"/>
  <c r="E130" i="5"/>
  <c r="C126" i="4"/>
  <c r="G130" i="5"/>
  <c r="E126" i="4"/>
  <c r="L131" i="5" l="1"/>
  <c r="DU12" i="8" s="1"/>
  <c r="J127" i="4"/>
  <c r="J131" i="5"/>
  <c r="H127" i="4"/>
  <c r="A128" i="4"/>
  <c r="I134" i="2"/>
  <c r="G134" i="2"/>
  <c r="K134" i="2"/>
  <c r="J134" i="2"/>
  <c r="L134" i="2"/>
  <c r="H134" i="2"/>
  <c r="D134" i="2"/>
  <c r="F134" i="2"/>
  <c r="G127" i="4"/>
  <c r="I131" i="5"/>
  <c r="D127" i="4"/>
  <c r="F131" i="5"/>
  <c r="G131" i="5"/>
  <c r="E127" i="4"/>
  <c r="E131" i="5"/>
  <c r="C127" i="4"/>
  <c r="H131" i="5"/>
  <c r="F127" i="4"/>
  <c r="D131" i="5"/>
  <c r="B127" i="4"/>
  <c r="K131" i="5"/>
  <c r="I127" i="4"/>
  <c r="H132" i="5" l="1"/>
  <c r="F128" i="4"/>
  <c r="J128" i="4"/>
  <c r="L132" i="5"/>
  <c r="DV12" i="8" s="1"/>
  <c r="A129" i="4"/>
  <c r="I135" i="2"/>
  <c r="K135" i="2"/>
  <c r="G135" i="2"/>
  <c r="H135" i="2"/>
  <c r="J135" i="2"/>
  <c r="L135" i="2"/>
  <c r="F135" i="2"/>
  <c r="D135" i="2"/>
  <c r="J132" i="5"/>
  <c r="H128" i="4"/>
  <c r="I128" i="4"/>
  <c r="K132" i="5"/>
  <c r="F132" i="5"/>
  <c r="D128" i="4"/>
  <c r="B128" i="4"/>
  <c r="D132" i="5"/>
  <c r="E128" i="4"/>
  <c r="G132" i="5"/>
  <c r="E132" i="5"/>
  <c r="C128" i="4"/>
  <c r="I132" i="5"/>
  <c r="G128" i="4"/>
  <c r="L133" i="5" l="1"/>
  <c r="DW12" i="8" s="1"/>
  <c r="J129" i="4"/>
  <c r="J133" i="5"/>
  <c r="H129" i="4"/>
  <c r="A130" i="4"/>
  <c r="H136" i="2"/>
  <c r="H5" i="2" s="1"/>
  <c r="I136" i="2"/>
  <c r="I5" i="2" s="1"/>
  <c r="J136" i="2"/>
  <c r="J5" i="2" s="1"/>
  <c r="K136" i="2"/>
  <c r="O13" i="19" s="1"/>
  <c r="Q13" i="19" s="1"/>
  <c r="G136" i="2"/>
  <c r="G5" i="2" s="1"/>
  <c r="L136" i="2"/>
  <c r="C184" i="15" s="1"/>
  <c r="F136" i="2"/>
  <c r="F5" i="2" s="1"/>
  <c r="D136" i="2"/>
  <c r="F129" i="4"/>
  <c r="H133" i="5"/>
  <c r="D133" i="5"/>
  <c r="B129" i="4"/>
  <c r="G133" i="5"/>
  <c r="E129" i="4"/>
  <c r="K133" i="5"/>
  <c r="I129" i="4"/>
  <c r="C129" i="4"/>
  <c r="E133" i="5"/>
  <c r="F133" i="5"/>
  <c r="D129" i="4"/>
  <c r="G129" i="4"/>
  <c r="I133" i="5"/>
  <c r="C23" i="19" l="1"/>
  <c r="P35" i="15"/>
  <c r="P30" i="15"/>
  <c r="P31" i="15"/>
  <c r="P32" i="15"/>
  <c r="P34" i="15"/>
  <c r="P36" i="15"/>
  <c r="P33" i="15"/>
  <c r="P37" i="15"/>
  <c r="C182" i="15"/>
  <c r="O12" i="19"/>
  <c r="W11" i="2"/>
  <c r="C183" i="15"/>
  <c r="C201" i="15" s="1"/>
  <c r="K5" i="2"/>
  <c r="E14" i="15"/>
  <c r="H14" i="15" s="1"/>
  <c r="I14" i="15" s="1"/>
  <c r="E16" i="15"/>
  <c r="H16" i="15" s="1"/>
  <c r="I16" i="15" s="1"/>
  <c r="C179" i="15"/>
  <c r="C192" i="15" s="1"/>
  <c r="C180" i="15"/>
  <c r="C196" i="15" s="1"/>
  <c r="C181" i="15"/>
  <c r="C54" i="15"/>
  <c r="C55" i="15"/>
  <c r="M53" i="15"/>
  <c r="M54" i="15"/>
  <c r="C52" i="15"/>
  <c r="M49" i="15"/>
  <c r="C51" i="15"/>
  <c r="M52" i="15"/>
  <c r="C50" i="15"/>
  <c r="M51" i="15"/>
  <c r="H47" i="15"/>
  <c r="M55" i="15"/>
  <c r="I47" i="15"/>
  <c r="C47" i="15"/>
  <c r="F47" i="15"/>
  <c r="D47" i="15"/>
  <c r="C48" i="15"/>
  <c r="M50" i="15"/>
  <c r="E47" i="15"/>
  <c r="C49" i="15"/>
  <c r="G47" i="15"/>
  <c r="M48" i="15"/>
  <c r="C53" i="15"/>
  <c r="C37" i="15"/>
  <c r="G31" i="15"/>
  <c r="E33" i="15"/>
  <c r="G37" i="15"/>
  <c r="F36" i="15"/>
  <c r="H32" i="15"/>
  <c r="I33" i="15"/>
  <c r="D35" i="15"/>
  <c r="H33" i="15"/>
  <c r="G30" i="15"/>
  <c r="E34" i="15"/>
  <c r="E32" i="15"/>
  <c r="I32" i="15"/>
  <c r="H27" i="15"/>
  <c r="C34" i="15"/>
  <c r="I36" i="15"/>
  <c r="G27" i="15"/>
  <c r="G32" i="15"/>
  <c r="C35" i="15"/>
  <c r="E36" i="15"/>
  <c r="E27" i="15"/>
  <c r="G35" i="15"/>
  <c r="I35" i="15"/>
  <c r="I37" i="15"/>
  <c r="C36" i="15"/>
  <c r="E37" i="15"/>
  <c r="F31" i="15"/>
  <c r="I27" i="15"/>
  <c r="I30" i="15"/>
  <c r="E30" i="15"/>
  <c r="D30" i="15"/>
  <c r="C33" i="15"/>
  <c r="I31" i="15"/>
  <c r="H37" i="15"/>
  <c r="H36" i="15"/>
  <c r="F35" i="15"/>
  <c r="C27" i="15"/>
  <c r="P27" i="15" s="1"/>
  <c r="D36" i="15"/>
  <c r="D31" i="15"/>
  <c r="H31" i="15"/>
  <c r="F30" i="15"/>
  <c r="D33" i="15"/>
  <c r="F37" i="15"/>
  <c r="C32" i="15"/>
  <c r="D27" i="15"/>
  <c r="G34" i="15"/>
  <c r="E35" i="15"/>
  <c r="G33" i="15"/>
  <c r="D34" i="15"/>
  <c r="D37" i="15"/>
  <c r="G36" i="15"/>
  <c r="F32" i="15"/>
  <c r="F27" i="15"/>
  <c r="H34" i="15"/>
  <c r="D32" i="15"/>
  <c r="E31" i="15"/>
  <c r="C31" i="15"/>
  <c r="H35" i="15"/>
  <c r="C30" i="15"/>
  <c r="I34" i="15"/>
  <c r="F33" i="15"/>
  <c r="F34" i="15"/>
  <c r="H30" i="15"/>
  <c r="W10" i="2"/>
  <c r="M83" i="15" a="1"/>
  <c r="M83" i="15" s="1"/>
  <c r="L5" i="2"/>
  <c r="W9" i="2"/>
  <c r="AA9" i="2" s="1"/>
  <c r="AB9" i="2" s="1"/>
  <c r="D5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C30" i="10"/>
  <c r="E32" i="10"/>
  <c r="D31" i="10"/>
  <c r="I24" i="10"/>
  <c r="D24" i="10"/>
  <c r="I29" i="10"/>
  <c r="E24" i="10"/>
  <c r="E25" i="10"/>
  <c r="G24" i="10"/>
  <c r="F31" i="10"/>
  <c r="I32" i="10"/>
  <c r="I28" i="10"/>
  <c r="G28" i="10"/>
  <c r="C31" i="10"/>
  <c r="H28" i="10"/>
  <c r="E29" i="10"/>
  <c r="E27" i="10"/>
  <c r="H30" i="10"/>
  <c r="D26" i="10"/>
  <c r="H31" i="10"/>
  <c r="C28" i="10"/>
  <c r="G32" i="10"/>
  <c r="D29" i="10"/>
  <c r="E31" i="10"/>
  <c r="H26" i="10"/>
  <c r="G25" i="10"/>
  <c r="I26" i="10"/>
  <c r="F25" i="10"/>
  <c r="C25" i="10"/>
  <c r="E28" i="10"/>
  <c r="G30" i="10"/>
  <c r="G27" i="10"/>
  <c r="I31" i="10"/>
  <c r="H24" i="10"/>
  <c r="F28" i="10"/>
  <c r="F29" i="10"/>
  <c r="H25" i="10"/>
  <c r="G29" i="10"/>
  <c r="D28" i="10"/>
  <c r="G26" i="10"/>
  <c r="G31" i="10"/>
  <c r="F30" i="10"/>
  <c r="D32" i="10"/>
  <c r="D25" i="10"/>
  <c r="C27" i="10"/>
  <c r="H29" i="10"/>
  <c r="E30" i="10"/>
  <c r="C32" i="10"/>
  <c r="D30" i="10"/>
  <c r="D27" i="10"/>
  <c r="I30" i="10"/>
  <c r="F26" i="10"/>
  <c r="I27" i="10"/>
  <c r="H32" i="10"/>
  <c r="H27" i="10"/>
  <c r="E26" i="10"/>
  <c r="I25" i="10"/>
  <c r="F32" i="10"/>
  <c r="F27" i="10"/>
  <c r="C26" i="10"/>
  <c r="C29" i="10"/>
  <c r="C24" i="10"/>
  <c r="F24" i="10"/>
  <c r="G35" i="9"/>
  <c r="C32" i="9"/>
  <c r="H33" i="9"/>
  <c r="I36" i="9"/>
  <c r="I34" i="9"/>
  <c r="G33" i="9"/>
  <c r="H36" i="9"/>
  <c r="I35" i="9"/>
  <c r="C29" i="9"/>
  <c r="D32" i="9"/>
  <c r="F36" i="9"/>
  <c r="E35" i="9"/>
  <c r="C34" i="9"/>
  <c r="C33" i="9"/>
  <c r="C35" i="9"/>
  <c r="D36" i="9"/>
  <c r="F33" i="9"/>
  <c r="F32" i="9"/>
  <c r="H35" i="9"/>
  <c r="I33" i="9"/>
  <c r="C30" i="9"/>
  <c r="E32" i="9"/>
  <c r="E34" i="9"/>
  <c r="G36" i="9"/>
  <c r="G32" i="9"/>
  <c r="H34" i="9"/>
  <c r="C28" i="9"/>
  <c r="D35" i="9"/>
  <c r="E33" i="9"/>
  <c r="F34" i="9"/>
  <c r="H32" i="9"/>
  <c r="I32" i="9"/>
  <c r="C36" i="9"/>
  <c r="D34" i="9"/>
  <c r="D33" i="9"/>
  <c r="E36" i="9"/>
  <c r="F35" i="9"/>
  <c r="G34" i="9"/>
  <c r="H31" i="9"/>
  <c r="G31" i="9"/>
  <c r="F28" i="9"/>
  <c r="H30" i="9"/>
  <c r="I30" i="9"/>
  <c r="I29" i="9"/>
  <c r="D29" i="9"/>
  <c r="H28" i="9"/>
  <c r="D31" i="9"/>
  <c r="H29" i="9"/>
  <c r="G29" i="9"/>
  <c r="D28" i="9"/>
  <c r="C31" i="9"/>
  <c r="D30" i="9"/>
  <c r="E29" i="9"/>
  <c r="I28" i="9"/>
  <c r="E30" i="9"/>
  <c r="E28" i="9"/>
  <c r="F29" i="9"/>
  <c r="G28" i="9"/>
  <c r="F31" i="9"/>
  <c r="G30" i="9"/>
  <c r="I31" i="9"/>
  <c r="F30" i="9"/>
  <c r="E31" i="9"/>
  <c r="F134" i="5"/>
  <c r="D130" i="4"/>
  <c r="Q8" i="2"/>
  <c r="Q9" i="2"/>
  <c r="Q10" i="2"/>
  <c r="Q11" i="2"/>
  <c r="Q14" i="2"/>
  <c r="Q15" i="2"/>
  <c r="Q16" i="2"/>
  <c r="Q17" i="2"/>
  <c r="Q19" i="2"/>
  <c r="Q21" i="2"/>
  <c r="H134" i="5"/>
  <c r="F130" i="4"/>
  <c r="S9" i="2"/>
  <c r="S13" i="2"/>
  <c r="S14" i="2"/>
  <c r="S18" i="2"/>
  <c r="S19" i="2"/>
  <c r="L134" i="5"/>
  <c r="DX12" i="8" s="1"/>
  <c r="J130" i="4"/>
  <c r="W8" i="2"/>
  <c r="G134" i="5"/>
  <c r="E130" i="4"/>
  <c r="R7" i="2"/>
  <c r="R8" i="2"/>
  <c r="R10" i="2"/>
  <c r="R12" i="2"/>
  <c r="R13" i="2"/>
  <c r="R14" i="2"/>
  <c r="R15" i="2"/>
  <c r="R16" i="2"/>
  <c r="R17" i="2"/>
  <c r="R19" i="2"/>
  <c r="R21" i="2"/>
  <c r="K134" i="5"/>
  <c r="I130" i="4"/>
  <c r="V9" i="2"/>
  <c r="V11" i="2"/>
  <c r="V14" i="2"/>
  <c r="V15" i="2"/>
  <c r="V18" i="2"/>
  <c r="V19" i="2"/>
  <c r="D134" i="5"/>
  <c r="B130" i="4"/>
  <c r="J134" i="5"/>
  <c r="H130" i="4"/>
  <c r="U8" i="2"/>
  <c r="U9" i="2"/>
  <c r="U13" i="2"/>
  <c r="U17" i="2"/>
  <c r="U20" i="2"/>
  <c r="I157" i="15" s="1"/>
  <c r="E134" i="5"/>
  <c r="C130" i="4"/>
  <c r="P9" i="2"/>
  <c r="P10" i="2"/>
  <c r="P11" i="2"/>
  <c r="P12" i="2"/>
  <c r="P13" i="2"/>
  <c r="P14" i="2"/>
  <c r="P15" i="2"/>
  <c r="P16" i="2"/>
  <c r="P18" i="2"/>
  <c r="P19" i="2"/>
  <c r="I134" i="5"/>
  <c r="G130" i="4"/>
  <c r="T8" i="2"/>
  <c r="H145" i="15" s="1"/>
  <c r="O19" i="19" s="1"/>
  <c r="T11" i="2"/>
  <c r="H148" i="15" s="1"/>
  <c r="O22" i="19" s="1"/>
  <c r="T13" i="2"/>
  <c r="H150" i="15" s="1"/>
  <c r="T14" i="2"/>
  <c r="H151" i="15" s="1"/>
  <c r="T15" i="2"/>
  <c r="H152" i="15" s="1"/>
  <c r="T17" i="2"/>
  <c r="H154" i="15" s="1"/>
  <c r="T18" i="2"/>
  <c r="H155" i="15" s="1"/>
  <c r="M91" i="15" l="1"/>
  <c r="C20" i="19"/>
  <c r="B146" i="15" s="1"/>
  <c r="C198" i="15"/>
  <c r="C199" i="15"/>
  <c r="C197" i="15"/>
  <c r="C21" i="19"/>
  <c r="B147" i="15" s="1"/>
  <c r="C200" i="15"/>
  <c r="C185" i="15"/>
  <c r="C186" i="15"/>
  <c r="C187" i="15"/>
  <c r="P40" i="15"/>
  <c r="Q40" i="15"/>
  <c r="P41" i="15" s="1"/>
  <c r="Q38" i="15"/>
  <c r="P39" i="15" s="1"/>
  <c r="P38" i="15"/>
  <c r="N27" i="15"/>
  <c r="C191" i="15"/>
  <c r="O38" i="19"/>
  <c r="O40" i="19"/>
  <c r="O45" i="19"/>
  <c r="O43" i="19"/>
  <c r="C22" i="19"/>
  <c r="B148" i="15" s="1"/>
  <c r="Q12" i="19"/>
  <c r="O14" i="19"/>
  <c r="C38" i="15"/>
  <c r="C19" i="19"/>
  <c r="B145" i="15" s="1"/>
  <c r="C195" i="15"/>
  <c r="B149" i="15"/>
  <c r="C18" i="19"/>
  <c r="D40" i="15"/>
  <c r="C40" i="15"/>
  <c r="H28" i="15"/>
  <c r="H29" i="15"/>
  <c r="F28" i="15"/>
  <c r="F29" i="15"/>
  <c r="D28" i="15"/>
  <c r="D29" i="15"/>
  <c r="C28" i="15"/>
  <c r="C29" i="15"/>
  <c r="E29" i="15"/>
  <c r="E28" i="15"/>
  <c r="G28" i="15"/>
  <c r="G29" i="15"/>
  <c r="I29" i="15"/>
  <c r="I28" i="15"/>
  <c r="M84" i="15"/>
  <c r="N83" i="15" s="1"/>
  <c r="A164" i="15" s="1"/>
  <c r="M86" i="15"/>
  <c r="Q144" i="15"/>
  <c r="C188" i="15"/>
  <c r="C190" i="15"/>
  <c r="C194" i="15"/>
  <c r="C35" i="10"/>
  <c r="D15" i="13"/>
  <c r="E15" i="13" s="1"/>
  <c r="Y15" i="13" s="1"/>
  <c r="D155" i="15"/>
  <c r="B18" i="13"/>
  <c r="C18" i="13" s="1"/>
  <c r="C158" i="15"/>
  <c r="B12" i="13"/>
  <c r="C12" i="13" s="1"/>
  <c r="C152" i="15"/>
  <c r="B6" i="13"/>
  <c r="C6" i="13" s="1"/>
  <c r="C146" i="15"/>
  <c r="E20" i="19" s="1"/>
  <c r="D7" i="13"/>
  <c r="E7" i="13" s="1"/>
  <c r="D147" i="15"/>
  <c r="G21" i="19" s="1"/>
  <c r="P6" i="13"/>
  <c r="Q6" i="13" s="1"/>
  <c r="J146" i="15"/>
  <c r="S20" i="19" s="1"/>
  <c r="H5" i="13"/>
  <c r="F145" i="15"/>
  <c r="K19" i="19" s="1"/>
  <c r="B17" i="13"/>
  <c r="C17" i="13" s="1"/>
  <c r="C157" i="15"/>
  <c r="B11" i="13"/>
  <c r="C11" i="13" s="1"/>
  <c r="C151" i="15"/>
  <c r="B5" i="13"/>
  <c r="C5" i="13" s="1"/>
  <c r="C145" i="15"/>
  <c r="N10" i="13"/>
  <c r="O10" i="13" s="1"/>
  <c r="I150" i="15"/>
  <c r="H13" i="13"/>
  <c r="F153" i="15"/>
  <c r="F12" i="13"/>
  <c r="G12" i="13" s="1"/>
  <c r="T12" i="13" s="1"/>
  <c r="U12" i="13" s="1"/>
  <c r="E152" i="15"/>
  <c r="H168" i="15"/>
  <c r="H167" i="15"/>
  <c r="H170" i="15"/>
  <c r="D6" i="13"/>
  <c r="E6" i="13" s="1"/>
  <c r="D146" i="15"/>
  <c r="G20" i="19" s="1"/>
  <c r="B16" i="13"/>
  <c r="C16" i="13" s="1"/>
  <c r="C156" i="15"/>
  <c r="B10" i="13"/>
  <c r="C10" i="13" s="1"/>
  <c r="C150" i="15"/>
  <c r="D8" i="13"/>
  <c r="E8" i="13" s="1"/>
  <c r="D148" i="15"/>
  <c r="G22" i="19" s="1"/>
  <c r="D12" i="13"/>
  <c r="E12" i="13" s="1"/>
  <c r="D152" i="15"/>
  <c r="N6" i="13"/>
  <c r="O6" i="13" s="1"/>
  <c r="I146" i="15"/>
  <c r="Q20" i="19" s="1"/>
  <c r="P16" i="13"/>
  <c r="Q16" i="13" s="1"/>
  <c r="J156" i="15"/>
  <c r="H12" i="13"/>
  <c r="F152" i="15"/>
  <c r="F144" i="15"/>
  <c r="C23" i="16"/>
  <c r="D23" i="16" s="1"/>
  <c r="C21" i="16"/>
  <c r="D21" i="16" s="1"/>
  <c r="C22" i="16"/>
  <c r="D22" i="16" s="1"/>
  <c r="C27" i="16"/>
  <c r="D27" i="16" s="1"/>
  <c r="C19" i="16"/>
  <c r="C26" i="16"/>
  <c r="C20" i="16"/>
  <c r="C24" i="16"/>
  <c r="J16" i="13"/>
  <c r="K16" i="13" s="1"/>
  <c r="G156" i="15"/>
  <c r="F11" i="13"/>
  <c r="G11" i="13" s="1"/>
  <c r="T11" i="13" s="1"/>
  <c r="U11" i="13" s="1"/>
  <c r="E151" i="15"/>
  <c r="D11" i="13"/>
  <c r="E11" i="13" s="1"/>
  <c r="D151" i="15"/>
  <c r="N5" i="13"/>
  <c r="O5" i="13" s="1"/>
  <c r="I145" i="15"/>
  <c r="P15" i="13"/>
  <c r="Q15" i="13" s="1"/>
  <c r="J155" i="15"/>
  <c r="H11" i="13"/>
  <c r="F151" i="15"/>
  <c r="J15" i="13"/>
  <c r="K15" i="13" s="1"/>
  <c r="G155" i="15"/>
  <c r="F18" i="13"/>
  <c r="G18" i="13" s="1"/>
  <c r="Y18" i="13" s="1"/>
  <c r="E158" i="15"/>
  <c r="F8" i="13"/>
  <c r="G8" i="13" s="1"/>
  <c r="T8" i="13" s="1"/>
  <c r="U8" i="13" s="1"/>
  <c r="E148" i="15"/>
  <c r="I22" i="19" s="1"/>
  <c r="B21" i="13"/>
  <c r="C21" i="13" s="1"/>
  <c r="C161" i="15"/>
  <c r="B15" i="13"/>
  <c r="C15" i="13" s="1"/>
  <c r="C155" i="15"/>
  <c r="B9" i="13"/>
  <c r="C9" i="13" s="1"/>
  <c r="C149" i="15"/>
  <c r="E23" i="19" s="1"/>
  <c r="C189" i="15"/>
  <c r="C193" i="15"/>
  <c r="N14" i="13"/>
  <c r="O14" i="13" s="1"/>
  <c r="I154" i="15"/>
  <c r="P8" i="13"/>
  <c r="Q8" i="13" s="1"/>
  <c r="J148" i="15"/>
  <c r="S22" i="19" s="1"/>
  <c r="H14" i="13"/>
  <c r="F154" i="15"/>
  <c r="H7" i="13"/>
  <c r="F147" i="15"/>
  <c r="K21" i="19" s="1"/>
  <c r="J6" i="13"/>
  <c r="K6" i="13" s="1"/>
  <c r="G146" i="15"/>
  <c r="M20" i="19" s="1"/>
  <c r="F13" i="13"/>
  <c r="G13" i="13" s="1"/>
  <c r="T13" i="13" s="1"/>
  <c r="U13" i="13" s="1"/>
  <c r="E153" i="15"/>
  <c r="F5" i="13"/>
  <c r="G5" i="13" s="1"/>
  <c r="E145" i="15"/>
  <c r="I19" i="19" s="1"/>
  <c r="B20" i="13"/>
  <c r="C20" i="13" s="1"/>
  <c r="C160" i="15"/>
  <c r="B14" i="13"/>
  <c r="C14" i="13" s="1"/>
  <c r="C154" i="15"/>
  <c r="B8" i="13"/>
  <c r="C8" i="13" s="1"/>
  <c r="C148" i="15"/>
  <c r="E22" i="19" s="1"/>
  <c r="D13" i="13"/>
  <c r="E13" i="13" s="1"/>
  <c r="D153" i="15"/>
  <c r="D10" i="13"/>
  <c r="E10" i="13" s="1"/>
  <c r="Y10" i="13" s="1"/>
  <c r="D150" i="15"/>
  <c r="P12" i="13"/>
  <c r="Q12" i="13" s="1"/>
  <c r="J152" i="15"/>
  <c r="H18" i="13"/>
  <c r="F158" i="15"/>
  <c r="H10" i="13"/>
  <c r="F150" i="15"/>
  <c r="J11" i="13"/>
  <c r="K11" i="13" s="1"/>
  <c r="G151" i="15"/>
  <c r="F16" i="13"/>
  <c r="G16" i="13" s="1"/>
  <c r="T16" i="13" s="1"/>
  <c r="U16" i="13" s="1"/>
  <c r="E156" i="15"/>
  <c r="F7" i="13"/>
  <c r="G7" i="13" s="1"/>
  <c r="T7" i="13" s="1"/>
  <c r="U7" i="13" s="1"/>
  <c r="E147" i="15"/>
  <c r="I21" i="19" s="1"/>
  <c r="D16" i="13"/>
  <c r="E16" i="13" s="1"/>
  <c r="D156" i="15"/>
  <c r="D169" i="15" s="1"/>
  <c r="D9" i="13"/>
  <c r="E9" i="13" s="1"/>
  <c r="Y9" i="13" s="1"/>
  <c r="D149" i="15"/>
  <c r="G23" i="19" s="1"/>
  <c r="I169" i="15"/>
  <c r="P11" i="13"/>
  <c r="Q11" i="13" s="1"/>
  <c r="J151" i="15"/>
  <c r="H16" i="13"/>
  <c r="F156" i="15"/>
  <c r="H9" i="13"/>
  <c r="F149" i="15"/>
  <c r="K23" i="19" s="1"/>
  <c r="J10" i="13"/>
  <c r="K10" i="13" s="1"/>
  <c r="G150" i="15"/>
  <c r="F14" i="13"/>
  <c r="G14" i="13" s="1"/>
  <c r="E154" i="15"/>
  <c r="F6" i="13"/>
  <c r="G6" i="13" s="1"/>
  <c r="T6" i="13" s="1"/>
  <c r="U6" i="13" s="1"/>
  <c r="E146" i="15"/>
  <c r="I20" i="19" s="1"/>
  <c r="B19" i="13"/>
  <c r="C19" i="13" s="1"/>
  <c r="C159" i="15"/>
  <c r="B13" i="13"/>
  <c r="C13" i="13" s="1"/>
  <c r="C153" i="15"/>
  <c r="B7" i="13"/>
  <c r="C7" i="13" s="1"/>
  <c r="C147" i="15"/>
  <c r="E21" i="19" s="1"/>
  <c r="G40" i="15"/>
  <c r="G41" i="15" s="1"/>
  <c r="E25" i="17"/>
  <c r="J22" i="17"/>
  <c r="B19" i="17"/>
  <c r="E11" i="17"/>
  <c r="H13" i="17"/>
  <c r="G27" i="17"/>
  <c r="F24" i="17"/>
  <c r="F20" i="17"/>
  <c r="I18" i="17"/>
  <c r="D16" i="17"/>
  <c r="B14" i="17"/>
  <c r="I11" i="17"/>
  <c r="I26" i="17"/>
  <c r="C22" i="17"/>
  <c r="H20" i="17"/>
  <c r="B17" i="17"/>
  <c r="C15" i="17"/>
  <c r="K14" i="17"/>
  <c r="B13" i="17"/>
  <c r="G10" i="17"/>
  <c r="J27" i="17"/>
  <c r="C24" i="17"/>
  <c r="C21" i="17"/>
  <c r="L9" i="17"/>
  <c r="J26" i="17"/>
  <c r="L23" i="17"/>
  <c r="I20" i="17"/>
  <c r="G13" i="17"/>
  <c r="B8" i="17"/>
  <c r="K27" i="17"/>
  <c r="K24" i="17"/>
  <c r="K21" i="17"/>
  <c r="C18" i="17"/>
  <c r="L16" i="17"/>
  <c r="L14" i="17"/>
  <c r="E10" i="17"/>
  <c r="I12" i="17"/>
  <c r="I10" i="17"/>
  <c r="J25" i="17"/>
  <c r="L21" i="17"/>
  <c r="J19" i="17"/>
  <c r="E17" i="17"/>
  <c r="J11" i="17"/>
  <c r="E9" i="17"/>
  <c r="G11" i="17"/>
  <c r="D26" i="17"/>
  <c r="E23" i="17"/>
  <c r="L20" i="17"/>
  <c r="F18" i="17"/>
  <c r="K16" i="17"/>
  <c r="E14" i="17"/>
  <c r="J10" i="17"/>
  <c r="G25" i="17"/>
  <c r="D22" i="17"/>
  <c r="L17" i="17"/>
  <c r="F15" i="17"/>
  <c r="C13" i="17"/>
  <c r="L11" i="17"/>
  <c r="L12" i="17"/>
  <c r="C27" i="17"/>
  <c r="H23" i="17"/>
  <c r="G20" i="17"/>
  <c r="K18" i="17"/>
  <c r="J13" i="17"/>
  <c r="L8" i="17"/>
  <c r="H25" i="17"/>
  <c r="K22" i="17"/>
  <c r="D19" i="17"/>
  <c r="K15" i="17"/>
  <c r="K11" i="17"/>
  <c r="K12" i="17"/>
  <c r="C26" i="17"/>
  <c r="F23" i="17"/>
  <c r="K20" i="17"/>
  <c r="B16" i="17"/>
  <c r="C14" i="17"/>
  <c r="C12" i="17"/>
  <c r="D15" i="17"/>
  <c r="B27" i="17"/>
  <c r="D24" i="17"/>
  <c r="H21" i="17"/>
  <c r="C19" i="17"/>
  <c r="E16" i="17"/>
  <c r="E15" i="17"/>
  <c r="D11" i="17"/>
  <c r="E8" i="17"/>
  <c r="F26" i="17"/>
  <c r="B22" i="17"/>
  <c r="B15" i="17"/>
  <c r="H14" i="17"/>
  <c r="H9" i="17"/>
  <c r="L25" i="17"/>
  <c r="B21" i="17"/>
  <c r="D17" i="17"/>
  <c r="G15" i="17"/>
  <c r="I13" i="17"/>
  <c r="H12" i="17"/>
  <c r="K13" i="17"/>
  <c r="K26" i="17"/>
  <c r="C23" i="17"/>
  <c r="B20" i="17"/>
  <c r="J18" i="17"/>
  <c r="I16" i="17"/>
  <c r="C11" i="17"/>
  <c r="F8" i="17"/>
  <c r="B25" i="17"/>
  <c r="E22" i="17"/>
  <c r="G19" i="17"/>
  <c r="I17" i="17"/>
  <c r="F10" i="17"/>
  <c r="D8" i="17"/>
  <c r="D9" i="17"/>
  <c r="G26" i="17"/>
  <c r="B23" i="17"/>
  <c r="L13" i="17"/>
  <c r="G8" i="17"/>
  <c r="H11" i="17"/>
  <c r="I27" i="17"/>
  <c r="B24" i="17"/>
  <c r="E18" i="17"/>
  <c r="J14" i="17"/>
  <c r="B10" i="17"/>
  <c r="D25" i="17"/>
  <c r="I22" i="17"/>
  <c r="I19" i="17"/>
  <c r="H15" i="17"/>
  <c r="B11" i="17"/>
  <c r="I9" i="17"/>
  <c r="H27" i="17"/>
  <c r="J24" i="17"/>
  <c r="J21" i="17"/>
  <c r="B18" i="17"/>
  <c r="J16" i="17"/>
  <c r="D13" i="17"/>
  <c r="F9" i="17"/>
  <c r="L26" i="17"/>
  <c r="H22" i="17"/>
  <c r="D20" i="17"/>
  <c r="I15" i="17"/>
  <c r="D14" i="17"/>
  <c r="D10" i="17"/>
  <c r="D12" i="17"/>
  <c r="I24" i="17"/>
  <c r="E21" i="17"/>
  <c r="F17" i="17"/>
  <c r="K10" i="17"/>
  <c r="C9" i="17"/>
  <c r="I25" i="17"/>
  <c r="F22" i="17"/>
  <c r="F19" i="17"/>
  <c r="C17" i="17"/>
  <c r="B26" i="17"/>
  <c r="G23" i="17"/>
  <c r="C20" i="17"/>
  <c r="G18" i="17"/>
  <c r="G16" i="17"/>
  <c r="L10" i="17"/>
  <c r="J12" i="17"/>
  <c r="C25" i="17"/>
  <c r="H19" i="17"/>
  <c r="K17" i="17"/>
  <c r="G12" i="17"/>
  <c r="K9" i="17"/>
  <c r="F12" i="17"/>
  <c r="F27" i="17"/>
  <c r="J23" i="17"/>
  <c r="H16" i="17"/>
  <c r="F13" i="17"/>
  <c r="H8" i="17"/>
  <c r="F25" i="17"/>
  <c r="G22" i="17"/>
  <c r="H17" i="17"/>
  <c r="J15" i="17"/>
  <c r="C8" i="17"/>
  <c r="I8" i="17"/>
  <c r="E27" i="17"/>
  <c r="G24" i="17"/>
  <c r="G21" i="17"/>
  <c r="H18" i="17"/>
  <c r="G14" i="17"/>
  <c r="B12" i="17"/>
  <c r="K25" i="17"/>
  <c r="L22" i="17"/>
  <c r="L19" i="17"/>
  <c r="C10" i="17"/>
  <c r="J8" i="17"/>
  <c r="J9" i="17"/>
  <c r="E26" i="17"/>
  <c r="I23" i="17"/>
  <c r="G17" i="17"/>
  <c r="F14" i="17"/>
  <c r="B9" i="17"/>
  <c r="D27" i="17"/>
  <c r="L24" i="17"/>
  <c r="F21" i="17"/>
  <c r="F16" i="17"/>
  <c r="E13" i="17"/>
  <c r="K8" i="17"/>
  <c r="H26" i="17"/>
  <c r="K23" i="17"/>
  <c r="J20" i="17"/>
  <c r="L18" i="17"/>
  <c r="C16" i="17"/>
  <c r="I14" i="17"/>
  <c r="F11" i="17"/>
  <c r="H24" i="17"/>
  <c r="I21" i="17"/>
  <c r="E19" i="17"/>
  <c r="L15" i="17"/>
  <c r="L27" i="17"/>
  <c r="D23" i="17"/>
  <c r="E20" i="17"/>
  <c r="D18" i="17"/>
  <c r="G9" i="17"/>
  <c r="E24" i="17"/>
  <c r="D21" i="17"/>
  <c r="K19" i="17"/>
  <c r="J17" i="17"/>
  <c r="H10" i="17"/>
  <c r="E12" i="17"/>
  <c r="N50" i="15"/>
  <c r="J50" i="15" s="1"/>
  <c r="E50" i="15"/>
  <c r="F50" i="15"/>
  <c r="G50" i="15"/>
  <c r="I50" i="15"/>
  <c r="D50" i="15"/>
  <c r="H50" i="15"/>
  <c r="N55" i="15"/>
  <c r="J55" i="15" s="1"/>
  <c r="F55" i="15"/>
  <c r="G55" i="15"/>
  <c r="D55" i="15"/>
  <c r="E55" i="15"/>
  <c r="I55" i="15"/>
  <c r="H55" i="15"/>
  <c r="N49" i="15"/>
  <c r="J49" i="15" s="1"/>
  <c r="E49" i="15"/>
  <c r="I49" i="15"/>
  <c r="F49" i="15"/>
  <c r="G49" i="15"/>
  <c r="H49" i="15"/>
  <c r="D49" i="15"/>
  <c r="N48" i="15"/>
  <c r="J48" i="15" s="1"/>
  <c r="H48" i="15"/>
  <c r="G48" i="15"/>
  <c r="I48" i="15"/>
  <c r="D48" i="15"/>
  <c r="F48" i="15"/>
  <c r="E48" i="15"/>
  <c r="N51" i="15"/>
  <c r="J51" i="15" s="1"/>
  <c r="E51" i="15"/>
  <c r="H51" i="15"/>
  <c r="I51" i="15"/>
  <c r="F51" i="15"/>
  <c r="G51" i="15"/>
  <c r="D51" i="15"/>
  <c r="N54" i="15"/>
  <c r="J54" i="15" s="1"/>
  <c r="F54" i="15"/>
  <c r="G54" i="15"/>
  <c r="D54" i="15"/>
  <c r="I54" i="15"/>
  <c r="H54" i="15"/>
  <c r="E54" i="15"/>
  <c r="N53" i="15"/>
  <c r="J53" i="15" s="1"/>
  <c r="F53" i="15"/>
  <c r="G53" i="15"/>
  <c r="H53" i="15"/>
  <c r="E53" i="15"/>
  <c r="D53" i="15"/>
  <c r="I53" i="15"/>
  <c r="N52" i="15"/>
  <c r="J52" i="15" s="1"/>
  <c r="E52" i="15"/>
  <c r="D52" i="15"/>
  <c r="G52" i="15"/>
  <c r="H52" i="15"/>
  <c r="I52" i="15"/>
  <c r="F52" i="15"/>
  <c r="J81" i="15"/>
  <c r="G92" i="15"/>
  <c r="G93" i="15" s="1"/>
  <c r="I85" i="15"/>
  <c r="I86" i="15" s="1"/>
  <c r="C85" i="15"/>
  <c r="E85" i="15"/>
  <c r="F92" i="15"/>
  <c r="F93" i="15" s="1"/>
  <c r="H85" i="15"/>
  <c r="C92" i="15"/>
  <c r="C93" i="15" s="1"/>
  <c r="H92" i="15"/>
  <c r="H93" i="15" s="1"/>
  <c r="D85" i="15"/>
  <c r="E87" i="15"/>
  <c r="E92" i="15"/>
  <c r="E93" i="15" s="1"/>
  <c r="G85" i="15"/>
  <c r="H87" i="15"/>
  <c r="H88" i="15" s="1"/>
  <c r="D87" i="15"/>
  <c r="D92" i="15"/>
  <c r="D93" i="15" s="1"/>
  <c r="F85" i="15"/>
  <c r="C87" i="15"/>
  <c r="F87" i="15"/>
  <c r="J85" i="15"/>
  <c r="J86" i="15" s="1"/>
  <c r="H38" i="15"/>
  <c r="H39" i="15" s="1"/>
  <c r="Y8" i="13"/>
  <c r="L8" i="13"/>
  <c r="M8" i="13" s="1"/>
  <c r="V8" i="13" s="1"/>
  <c r="W9" i="13" s="1"/>
  <c r="Z11" i="2"/>
  <c r="AA11" i="2" s="1"/>
  <c r="AB11" i="2" s="1"/>
  <c r="G83" i="15"/>
  <c r="G84" i="15" s="1"/>
  <c r="L5" i="13"/>
  <c r="M5" i="13" s="1"/>
  <c r="V5" i="13" s="1"/>
  <c r="D83" i="15"/>
  <c r="Z8" i="2"/>
  <c r="L12" i="13"/>
  <c r="M12" i="13" s="1"/>
  <c r="V12" i="13" s="1"/>
  <c r="W13" i="13" s="1"/>
  <c r="Z15" i="2"/>
  <c r="AA15" i="2" s="1"/>
  <c r="AB15" i="2" s="1"/>
  <c r="C90" i="15"/>
  <c r="E38" i="15"/>
  <c r="E39" i="15" s="1"/>
  <c r="L11" i="13"/>
  <c r="M11" i="13" s="1"/>
  <c r="V11" i="13" s="1"/>
  <c r="X11" i="13" s="1"/>
  <c r="Z14" i="2"/>
  <c r="AA14" i="2" s="1"/>
  <c r="AB14" i="2" s="1"/>
  <c r="J83" i="15"/>
  <c r="J84" i="15" s="1"/>
  <c r="J87" i="15" s="1"/>
  <c r="J88" i="15" s="1"/>
  <c r="S5" i="13"/>
  <c r="Z5" i="13" s="1"/>
  <c r="AA5" i="13" s="1"/>
  <c r="AA8" i="2"/>
  <c r="C39" i="15"/>
  <c r="N39" i="15" s="1"/>
  <c r="F38" i="15"/>
  <c r="F39" i="15" s="1"/>
  <c r="H40" i="15"/>
  <c r="H41" i="15" s="1"/>
  <c r="I38" i="15"/>
  <c r="I39" i="15" s="1"/>
  <c r="F40" i="15"/>
  <c r="F41" i="15" s="1"/>
  <c r="L10" i="13"/>
  <c r="M10" i="13" s="1"/>
  <c r="V10" i="13" s="1"/>
  <c r="X10" i="13" s="1"/>
  <c r="Z13" i="2"/>
  <c r="AA13" i="2" s="1"/>
  <c r="AB13" i="2" s="1"/>
  <c r="I83" i="15"/>
  <c r="I84" i="15" s="1"/>
  <c r="I87" i="15" s="1"/>
  <c r="I88" i="15" s="1"/>
  <c r="I40" i="15"/>
  <c r="I41" i="15" s="1"/>
  <c r="G38" i="15"/>
  <c r="G39" i="15" s="1"/>
  <c r="D41" i="15"/>
  <c r="L15" i="13"/>
  <c r="M15" i="13" s="1"/>
  <c r="V15" i="13" s="1"/>
  <c r="W16" i="13" s="1"/>
  <c r="Z18" i="2"/>
  <c r="AA18" i="2" s="1"/>
  <c r="AB18" i="2" s="1"/>
  <c r="F90" i="15"/>
  <c r="E40" i="15"/>
  <c r="E41" i="15" s="1"/>
  <c r="L14" i="13"/>
  <c r="M14" i="13" s="1"/>
  <c r="V14" i="13" s="1"/>
  <c r="W14" i="13" s="1"/>
  <c r="Z17" i="2"/>
  <c r="AA17" i="2" s="1"/>
  <c r="AB17" i="2" s="1"/>
  <c r="E90" i="15"/>
  <c r="D38" i="15"/>
  <c r="D39" i="15" s="1"/>
  <c r="Y16" i="13"/>
  <c r="C37" i="9"/>
  <c r="C38" i="9" s="1"/>
  <c r="G35" i="10"/>
  <c r="G36" i="10" s="1"/>
  <c r="T14" i="13"/>
  <c r="U14" i="13" s="1"/>
  <c r="Y14" i="13"/>
  <c r="T5" i="13"/>
  <c r="U5" i="13" s="1"/>
  <c r="Y5" i="13"/>
  <c r="X20" i="2"/>
  <c r="N17" i="13"/>
  <c r="O17" i="13" s="1"/>
  <c r="Y6" i="13"/>
  <c r="X7" i="2"/>
  <c r="H4" i="13"/>
  <c r="I18" i="13" s="1"/>
  <c r="I33" i="10"/>
  <c r="I34" i="10" s="1"/>
  <c r="H35" i="10"/>
  <c r="H36" i="10" s="1"/>
  <c r="D33" i="10"/>
  <c r="D34" i="10" s="1"/>
  <c r="E35" i="10"/>
  <c r="E36" i="10" s="1"/>
  <c r="C33" i="10"/>
  <c r="C34" i="10" s="1"/>
  <c r="F33" i="10"/>
  <c r="F34" i="10" s="1"/>
  <c r="F35" i="10"/>
  <c r="F36" i="10" s="1"/>
  <c r="I35" i="10"/>
  <c r="I36" i="10" s="1"/>
  <c r="D35" i="10"/>
  <c r="D36" i="10" s="1"/>
  <c r="C36" i="10"/>
  <c r="G33" i="10"/>
  <c r="G34" i="10" s="1"/>
  <c r="E33" i="10"/>
  <c r="E34" i="10" s="1"/>
  <c r="H33" i="10"/>
  <c r="H34" i="10" s="1"/>
  <c r="F39" i="9"/>
  <c r="F40" i="9" s="1"/>
  <c r="C39" i="9"/>
  <c r="C40" i="9" s="1"/>
  <c r="E39" i="9"/>
  <c r="E40" i="9" s="1"/>
  <c r="D39" i="9"/>
  <c r="D40" i="9" s="1"/>
  <c r="I39" i="9"/>
  <c r="I40" i="9" s="1"/>
  <c r="H39" i="9"/>
  <c r="H40" i="9" s="1"/>
  <c r="G39" i="9"/>
  <c r="G40" i="9" s="1"/>
  <c r="H37" i="9"/>
  <c r="H38" i="9" s="1"/>
  <c r="I37" i="9"/>
  <c r="I38" i="9" s="1"/>
  <c r="G37" i="9"/>
  <c r="G38" i="9" s="1"/>
  <c r="E37" i="9"/>
  <c r="E38" i="9" s="1"/>
  <c r="F37" i="9"/>
  <c r="F38" i="9" s="1"/>
  <c r="D37" i="9"/>
  <c r="D38" i="9" s="1"/>
  <c r="X15" i="2"/>
  <c r="X9" i="2"/>
  <c r="X19" i="2"/>
  <c r="X12" i="2"/>
  <c r="X16" i="2"/>
  <c r="X10" i="2"/>
  <c r="X14" i="2"/>
  <c r="X17" i="2"/>
  <c r="X13" i="2"/>
  <c r="X8" i="2"/>
  <c r="X18" i="2"/>
  <c r="X11" i="2"/>
  <c r="C86" i="15" l="1"/>
  <c r="I91" i="15"/>
  <c r="O82" i="15"/>
  <c r="A3" i="15" s="1"/>
  <c r="J173" i="15" s="1"/>
  <c r="N40" i="15"/>
  <c r="J41" i="15"/>
  <c r="N38" i="15"/>
  <c r="J39" i="15"/>
  <c r="Q24" i="13"/>
  <c r="E88" i="15"/>
  <c r="E184" i="15"/>
  <c r="F184" i="15"/>
  <c r="G184" i="15"/>
  <c r="D184" i="15"/>
  <c r="Y7" i="13"/>
  <c r="H86" i="15"/>
  <c r="C41" i="15"/>
  <c r="N41" i="15" s="1"/>
  <c r="Y11" i="13"/>
  <c r="A165" i="15"/>
  <c r="L162" i="15"/>
  <c r="D88" i="15"/>
  <c r="F88" i="15"/>
  <c r="C88" i="15"/>
  <c r="Q19" i="19"/>
  <c r="Q45" i="19" s="1"/>
  <c r="L164" i="15"/>
  <c r="L165" i="15" s="1"/>
  <c r="C38" i="19"/>
  <c r="B144" i="15"/>
  <c r="E19" i="19"/>
  <c r="E43" i="19" s="1"/>
  <c r="D17" i="16"/>
  <c r="D29" i="16" s="1"/>
  <c r="G87" i="15"/>
  <c r="G88" i="15" s="1"/>
  <c r="X8" i="13"/>
  <c r="O42" i="19"/>
  <c r="E24" i="13"/>
  <c r="S12" i="19"/>
  <c r="Q14" i="19"/>
  <c r="Y12" i="13"/>
  <c r="I38" i="19"/>
  <c r="I45" i="19"/>
  <c r="I43" i="19"/>
  <c r="I40" i="19"/>
  <c r="M38" i="19"/>
  <c r="M43" i="19"/>
  <c r="M45" i="19"/>
  <c r="M40" i="19"/>
  <c r="S43" i="19"/>
  <c r="S38" i="19"/>
  <c r="S45" i="19"/>
  <c r="S40" i="19"/>
  <c r="G38" i="19"/>
  <c r="G45" i="19"/>
  <c r="G43" i="19"/>
  <c r="G40" i="19"/>
  <c r="C45" i="19"/>
  <c r="C43" i="19"/>
  <c r="C40" i="19"/>
  <c r="G86" i="15"/>
  <c r="A3" i="19"/>
  <c r="K18" i="19"/>
  <c r="K38" i="19" s="1"/>
  <c r="F183" i="15"/>
  <c r="G183" i="15"/>
  <c r="D183" i="15"/>
  <c r="E183" i="15"/>
  <c r="D86" i="15"/>
  <c r="F86" i="15"/>
  <c r="E86" i="15"/>
  <c r="C17" i="16"/>
  <c r="C29" i="16" s="1"/>
  <c r="C46" i="16" s="1"/>
  <c r="H94" i="15"/>
  <c r="H95" i="15" s="1"/>
  <c r="G94" i="15"/>
  <c r="G95" i="15" s="1"/>
  <c r="D94" i="15"/>
  <c r="D95" i="15" s="1"/>
  <c r="F91" i="15"/>
  <c r="F94" i="15" s="1"/>
  <c r="F95" i="15" s="1"/>
  <c r="E91" i="15"/>
  <c r="E94" i="15" s="1"/>
  <c r="E95" i="15" s="1"/>
  <c r="C91" i="15"/>
  <c r="C94" i="15" s="1"/>
  <c r="I17" i="16"/>
  <c r="I29" i="16" s="1"/>
  <c r="I31" i="16" s="1"/>
  <c r="H17" i="16"/>
  <c r="H29" i="16" s="1"/>
  <c r="H30" i="16" s="1"/>
  <c r="G17" i="16"/>
  <c r="G29" i="16" s="1"/>
  <c r="G30" i="16" s="1"/>
  <c r="L17" i="16"/>
  <c r="L29" i="16" s="1"/>
  <c r="L31" i="16" s="1"/>
  <c r="F17" i="16"/>
  <c r="F29" i="16" s="1"/>
  <c r="F31" i="16" s="1"/>
  <c r="K17" i="16"/>
  <c r="K29" i="16" s="1"/>
  <c r="E17" i="16"/>
  <c r="E29" i="16" s="1"/>
  <c r="J17" i="16"/>
  <c r="J29" i="16" s="1"/>
  <c r="J30" i="16" s="1"/>
  <c r="C232" i="15"/>
  <c r="C227" i="15"/>
  <c r="C24" i="13"/>
  <c r="K24" i="13"/>
  <c r="G24" i="13"/>
  <c r="Y13" i="13"/>
  <c r="P144" i="15"/>
  <c r="L144" i="15"/>
  <c r="M144" i="15"/>
  <c r="N144" i="15"/>
  <c r="S144" i="15"/>
  <c r="O24" i="13"/>
  <c r="R144" i="15"/>
  <c r="O144" i="15"/>
  <c r="D182" i="15"/>
  <c r="E182" i="15"/>
  <c r="F182" i="15"/>
  <c r="G182" i="15"/>
  <c r="W12" i="13"/>
  <c r="I170" i="15"/>
  <c r="X12" i="13"/>
  <c r="W8" i="13"/>
  <c r="D35" i="16"/>
  <c r="E21" i="16"/>
  <c r="F21" i="16" s="1"/>
  <c r="E23" i="16"/>
  <c r="D26" i="16"/>
  <c r="E26" i="16" s="1"/>
  <c r="X14" i="13"/>
  <c r="F170" i="15"/>
  <c r="E27" i="16"/>
  <c r="F27" i="16" s="1"/>
  <c r="W11" i="13"/>
  <c r="G167" i="15"/>
  <c r="G168" i="15"/>
  <c r="G170" i="15"/>
  <c r="E22" i="16"/>
  <c r="J168" i="15"/>
  <c r="J167" i="15"/>
  <c r="D24" i="16"/>
  <c r="E168" i="15"/>
  <c r="E167" i="15"/>
  <c r="E169" i="15"/>
  <c r="E170" i="15"/>
  <c r="D19" i="16"/>
  <c r="F168" i="15"/>
  <c r="F167" i="15"/>
  <c r="D179" i="15"/>
  <c r="G176" i="15"/>
  <c r="E176" i="15"/>
  <c r="F178" i="15"/>
  <c r="F176" i="15"/>
  <c r="D180" i="15"/>
  <c r="F180" i="15"/>
  <c r="D176" i="15"/>
  <c r="D178" i="15"/>
  <c r="G181" i="15"/>
  <c r="G179" i="15"/>
  <c r="G180" i="15"/>
  <c r="E178" i="15"/>
  <c r="G178" i="15"/>
  <c r="E181" i="15"/>
  <c r="E179" i="15"/>
  <c r="E180" i="15"/>
  <c r="F179" i="15"/>
  <c r="D181" i="15"/>
  <c r="F181" i="15"/>
  <c r="F169" i="15"/>
  <c r="D20" i="16"/>
  <c r="E20" i="16" s="1"/>
  <c r="E39" i="16" s="1"/>
  <c r="I167" i="15"/>
  <c r="I168" i="15"/>
  <c r="C28" i="16"/>
  <c r="C170" i="15"/>
  <c r="C167" i="15"/>
  <c r="C168" i="15"/>
  <c r="D170" i="15"/>
  <c r="C25" i="16"/>
  <c r="J170" i="15"/>
  <c r="D167" i="15"/>
  <c r="D168" i="15"/>
  <c r="A3" i="16"/>
  <c r="C35" i="16"/>
  <c r="C37" i="16"/>
  <c r="C39" i="16"/>
  <c r="W15" i="13"/>
  <c r="M24" i="13"/>
  <c r="X15" i="13"/>
  <c r="W10" i="13"/>
  <c r="L88" i="15"/>
  <c r="D84" i="15"/>
  <c r="I90" i="15"/>
  <c r="AB8" i="2"/>
  <c r="AA5" i="2"/>
  <c r="I11" i="13"/>
  <c r="U2" i="13"/>
  <c r="J38" i="9"/>
  <c r="I10" i="13"/>
  <c r="J40" i="9"/>
  <c r="I4" i="13"/>
  <c r="I22" i="13"/>
  <c r="I20" i="13"/>
  <c r="I19" i="13"/>
  <c r="I21" i="13"/>
  <c r="I23" i="13"/>
  <c r="I6" i="13"/>
  <c r="I8" i="13"/>
  <c r="I15" i="13"/>
  <c r="I17" i="13"/>
  <c r="I5" i="13"/>
  <c r="I7" i="13"/>
  <c r="I9" i="13"/>
  <c r="I13" i="13"/>
  <c r="W5" i="13"/>
  <c r="X5" i="13"/>
  <c r="W6" i="13"/>
  <c r="AA6" i="13" s="1"/>
  <c r="I14" i="13"/>
  <c r="I16" i="13"/>
  <c r="I12" i="13"/>
  <c r="D202" i="15" l="1"/>
  <c r="D203" i="15" s="1"/>
  <c r="G202" i="15"/>
  <c r="G203" i="15" s="1"/>
  <c r="D201" i="15"/>
  <c r="E202" i="15"/>
  <c r="E203" i="15" s="1"/>
  <c r="G201" i="15"/>
  <c r="F201" i="15"/>
  <c r="E201" i="15"/>
  <c r="F202" i="15"/>
  <c r="F203" i="15" s="1"/>
  <c r="D197" i="15"/>
  <c r="D199" i="15"/>
  <c r="D198" i="15"/>
  <c r="D200" i="15"/>
  <c r="G197" i="15"/>
  <c r="G199" i="15"/>
  <c r="G200" i="15"/>
  <c r="G198" i="15"/>
  <c r="E199" i="15"/>
  <c r="E197" i="15"/>
  <c r="F199" i="15"/>
  <c r="F197" i="15"/>
  <c r="F200" i="15"/>
  <c r="F198" i="15"/>
  <c r="E198" i="15"/>
  <c r="E200" i="15"/>
  <c r="D196" i="15"/>
  <c r="G196" i="15"/>
  <c r="F196" i="15"/>
  <c r="F30" i="16"/>
  <c r="E196" i="15"/>
  <c r="H184" i="15"/>
  <c r="D192" i="15"/>
  <c r="G192" i="15"/>
  <c r="F192" i="15"/>
  <c r="E192" i="15"/>
  <c r="Q40" i="19"/>
  <c r="Q42" i="19" s="1"/>
  <c r="D186" i="15"/>
  <c r="D185" i="15"/>
  <c r="D187" i="15"/>
  <c r="Q38" i="19"/>
  <c r="F186" i="15"/>
  <c r="F187" i="15"/>
  <c r="F185" i="15"/>
  <c r="G187" i="15"/>
  <c r="G185" i="15"/>
  <c r="G186" i="15"/>
  <c r="E185" i="15"/>
  <c r="E186" i="15"/>
  <c r="E187" i="15"/>
  <c r="I30" i="16"/>
  <c r="P154" i="15"/>
  <c r="P162" i="15" s="1"/>
  <c r="S154" i="15"/>
  <c r="S162" i="15" s="1"/>
  <c r="R154" i="15"/>
  <c r="Q154" i="15"/>
  <c r="Q162" i="15" s="1"/>
  <c r="O154" i="15"/>
  <c r="O162" i="15" s="1"/>
  <c r="T154" i="15"/>
  <c r="T162" i="15" s="1"/>
  <c r="N154" i="15"/>
  <c r="N162" i="15" s="1"/>
  <c r="M154" i="15"/>
  <c r="M162" i="15" s="1"/>
  <c r="R162" i="15"/>
  <c r="E40" i="19"/>
  <c r="E42" i="19" s="1"/>
  <c r="E38" i="19"/>
  <c r="Q43" i="19"/>
  <c r="E45" i="19"/>
  <c r="S42" i="19"/>
  <c r="G41" i="19"/>
  <c r="M41" i="19"/>
  <c r="I41" i="19"/>
  <c r="C42" i="19"/>
  <c r="L30" i="16"/>
  <c r="J31" i="16"/>
  <c r="E195" i="15"/>
  <c r="K45" i="19"/>
  <c r="K40" i="19"/>
  <c r="K43" i="19"/>
  <c r="D195" i="15"/>
  <c r="G195" i="15"/>
  <c r="H31" i="16"/>
  <c r="F195" i="15"/>
  <c r="F191" i="15"/>
  <c r="E191" i="15"/>
  <c r="D191" i="15"/>
  <c r="G191" i="15"/>
  <c r="G31" i="16"/>
  <c r="H183" i="15"/>
  <c r="C30" i="16"/>
  <c r="C31" i="16"/>
  <c r="M29" i="16"/>
  <c r="C95" i="15"/>
  <c r="I92" i="15"/>
  <c r="K31" i="16"/>
  <c r="K30" i="16"/>
  <c r="G190" i="15"/>
  <c r="G194" i="15"/>
  <c r="F190" i="15"/>
  <c r="F194" i="15"/>
  <c r="E194" i="15"/>
  <c r="E190" i="15"/>
  <c r="D190" i="15"/>
  <c r="D194" i="15"/>
  <c r="E28" i="16"/>
  <c r="E30" i="16" s="1"/>
  <c r="H182" i="15"/>
  <c r="F23" i="16"/>
  <c r="G21" i="16"/>
  <c r="H21" i="16" s="1"/>
  <c r="D28" i="16"/>
  <c r="D30" i="16" s="1"/>
  <c r="F26" i="16"/>
  <c r="F28" i="16" s="1"/>
  <c r="E188" i="15"/>
  <c r="H181" i="15"/>
  <c r="D193" i="15"/>
  <c r="D189" i="15"/>
  <c r="F188" i="15"/>
  <c r="H179" i="15"/>
  <c r="G188" i="15"/>
  <c r="D188" i="15"/>
  <c r="H180" i="15"/>
  <c r="G27" i="16"/>
  <c r="H27" i="16" s="1"/>
  <c r="I27" i="16" s="1"/>
  <c r="G189" i="15"/>
  <c r="G193" i="15"/>
  <c r="E24" i="16"/>
  <c r="E40" i="16"/>
  <c r="E189" i="15"/>
  <c r="E193" i="15"/>
  <c r="E19" i="16"/>
  <c r="F22" i="16"/>
  <c r="D25" i="16"/>
  <c r="D31" i="16" s="1"/>
  <c r="D39" i="16"/>
  <c r="D40" i="16" s="1"/>
  <c r="F193" i="15"/>
  <c r="F189" i="15"/>
  <c r="H176" i="15"/>
  <c r="F20" i="16"/>
  <c r="D36" i="16"/>
  <c r="D46" i="16" s="1"/>
  <c r="C47" i="16"/>
  <c r="E35" i="16"/>
  <c r="E36" i="16" s="1"/>
  <c r="E46" i="16" s="1"/>
  <c r="X2" i="13"/>
  <c r="C41" i="16"/>
  <c r="C40" i="16"/>
  <c r="C38" i="16"/>
  <c r="D37" i="16"/>
  <c r="D38" i="16" s="1"/>
  <c r="C36" i="16"/>
  <c r="AA7" i="13"/>
  <c r="Z6" i="13"/>
  <c r="I24" i="13"/>
  <c r="Q41" i="19" l="1"/>
  <c r="K44" i="19"/>
  <c r="E41" i="19"/>
  <c r="I42" i="19"/>
  <c r="K41" i="19"/>
  <c r="K42" i="19"/>
  <c r="M42" i="19"/>
  <c r="G42" i="19"/>
  <c r="S41" i="19"/>
  <c r="C41" i="19"/>
  <c r="O41" i="19"/>
  <c r="M44" i="19"/>
  <c r="Q44" i="19"/>
  <c r="I44" i="19"/>
  <c r="S44" i="19"/>
  <c r="C44" i="19"/>
  <c r="O44" i="19"/>
  <c r="G44" i="19"/>
  <c r="E44" i="19"/>
  <c r="H185" i="15"/>
  <c r="I93" i="15"/>
  <c r="H20" i="15" s="1"/>
  <c r="M30" i="16"/>
  <c r="G23" i="16"/>
  <c r="I21" i="16"/>
  <c r="J21" i="16" s="1"/>
  <c r="G26" i="16"/>
  <c r="H26" i="16" s="1"/>
  <c r="I26" i="16" s="1"/>
  <c r="E25" i="16"/>
  <c r="E31" i="16" s="1"/>
  <c r="M31" i="16" s="1"/>
  <c r="F24" i="16"/>
  <c r="G24" i="16" s="1"/>
  <c r="H24" i="16" s="1"/>
  <c r="I24" i="16" s="1"/>
  <c r="J24" i="16" s="1"/>
  <c r="K24" i="16" s="1"/>
  <c r="L24" i="16" s="1"/>
  <c r="M24" i="16" s="1"/>
  <c r="F19" i="16"/>
  <c r="J27" i="16"/>
  <c r="K27" i="16" s="1"/>
  <c r="L27" i="16" s="1"/>
  <c r="M27" i="16" s="1"/>
  <c r="F39" i="16"/>
  <c r="F40" i="16" s="1"/>
  <c r="G20" i="16"/>
  <c r="H20" i="16" s="1"/>
  <c r="I20" i="16" s="1"/>
  <c r="J20" i="16" s="1"/>
  <c r="K20" i="16" s="1"/>
  <c r="L20" i="16" s="1"/>
  <c r="M20" i="16" s="1"/>
  <c r="G22" i="16"/>
  <c r="H22" i="16" s="1"/>
  <c r="I22" i="16" s="1"/>
  <c r="J22" i="16" s="1"/>
  <c r="K22" i="16" s="1"/>
  <c r="L22" i="16" s="1"/>
  <c r="M22" i="16" s="1"/>
  <c r="D47" i="16"/>
  <c r="C48" i="16"/>
  <c r="F35" i="16"/>
  <c r="D41" i="16"/>
  <c r="D42" i="16" s="1"/>
  <c r="E37" i="16"/>
  <c r="E38" i="16" s="1"/>
  <c r="E47" i="16" s="1"/>
  <c r="E41" i="16"/>
  <c r="E42" i="16" s="1"/>
  <c r="C42" i="16"/>
  <c r="AA8" i="13"/>
  <c r="Z7" i="13"/>
  <c r="H21" i="15" l="1"/>
  <c r="L13" i="16" s="1"/>
  <c r="L14" i="16" s="1"/>
  <c r="L12" i="16"/>
  <c r="F37" i="16"/>
  <c r="F38" i="16" s="1"/>
  <c r="F47" i="16" s="1"/>
  <c r="H23" i="16"/>
  <c r="K21" i="16"/>
  <c r="L21" i="16" s="1"/>
  <c r="M21" i="16" s="1"/>
  <c r="I28" i="16"/>
  <c r="H28" i="16"/>
  <c r="F25" i="16"/>
  <c r="J26" i="16"/>
  <c r="G28" i="16"/>
  <c r="G41" i="16" s="1"/>
  <c r="G42" i="16" s="1"/>
  <c r="G39" i="16"/>
  <c r="G40" i="16" s="1"/>
  <c r="G48" i="16" s="1"/>
  <c r="G19" i="16"/>
  <c r="G37" i="16" s="1"/>
  <c r="M39" i="16"/>
  <c r="C49" i="16"/>
  <c r="E49" i="16" s="1"/>
  <c r="E48" i="16"/>
  <c r="D48" i="16"/>
  <c r="F48" i="16"/>
  <c r="H39" i="16"/>
  <c r="H40" i="16" s="1"/>
  <c r="H48" i="16" s="1"/>
  <c r="F41" i="16"/>
  <c r="F42" i="16" s="1"/>
  <c r="F36" i="16"/>
  <c r="F46" i="16" s="1"/>
  <c r="M35" i="16"/>
  <c r="P27" i="16"/>
  <c r="G35" i="16"/>
  <c r="G36" i="16" s="1"/>
  <c r="G46" i="16" s="1"/>
  <c r="AA9" i="13"/>
  <c r="Z8" i="13"/>
  <c r="M37" i="16" l="1"/>
  <c r="I23" i="16"/>
  <c r="J23" i="16" s="1"/>
  <c r="K23" i="16" s="1"/>
  <c r="L23" i="16" s="1"/>
  <c r="M23" i="16" s="1"/>
  <c r="K26" i="16"/>
  <c r="K28" i="16" s="1"/>
  <c r="J28" i="16"/>
  <c r="D49" i="16"/>
  <c r="G25" i="16"/>
  <c r="H19" i="16"/>
  <c r="H37" i="16" s="1"/>
  <c r="H38" i="16" s="1"/>
  <c r="H47" i="16" s="1"/>
  <c r="G49" i="16"/>
  <c r="F49" i="16"/>
  <c r="M41" i="16"/>
  <c r="P24" i="16"/>
  <c r="I39" i="16"/>
  <c r="I40" i="16" s="1"/>
  <c r="I48" i="16" s="1"/>
  <c r="G38" i="16"/>
  <c r="G47" i="16" s="1"/>
  <c r="H41" i="16"/>
  <c r="P22" i="16"/>
  <c r="I41" i="16"/>
  <c r="H35" i="16"/>
  <c r="H36" i="16" s="1"/>
  <c r="H46" i="16" s="1"/>
  <c r="AA10" i="13"/>
  <c r="Z9" i="13"/>
  <c r="P23" i="16" l="1"/>
  <c r="L26" i="16"/>
  <c r="L28" i="16" s="1"/>
  <c r="M28" i="16" s="1"/>
  <c r="H25" i="16"/>
  <c r="I19" i="16"/>
  <c r="I42" i="16"/>
  <c r="I49" i="16" s="1"/>
  <c r="J48" i="16"/>
  <c r="K48" i="16" s="1"/>
  <c r="L48" i="16" s="1"/>
  <c r="I35" i="16"/>
  <c r="J41" i="16"/>
  <c r="J42" i="16" s="1"/>
  <c r="N39" i="16"/>
  <c r="O39" i="16" s="1"/>
  <c r="O40" i="16" s="1"/>
  <c r="H42" i="16"/>
  <c r="H49" i="16" s="1"/>
  <c r="AA11" i="13"/>
  <c r="Z10" i="13"/>
  <c r="M26" i="16" l="1"/>
  <c r="I25" i="16"/>
  <c r="M25" i="16" s="1"/>
  <c r="J19" i="16"/>
  <c r="K19" i="16" s="1"/>
  <c r="L19" i="16" s="1"/>
  <c r="M19" i="16" s="1"/>
  <c r="I37" i="16"/>
  <c r="J49" i="16"/>
  <c r="K49" i="16" s="1"/>
  <c r="L49" i="16" s="1"/>
  <c r="J35" i="16"/>
  <c r="J36" i="16" s="1"/>
  <c r="P26" i="16"/>
  <c r="P20" i="16"/>
  <c r="N41" i="16"/>
  <c r="O41" i="16" s="1"/>
  <c r="O42" i="16" s="1"/>
  <c r="P25" i="16"/>
  <c r="AA12" i="13"/>
  <c r="Z11" i="13"/>
  <c r="J37" i="16" l="1"/>
  <c r="J38" i="16" s="1"/>
  <c r="I36" i="16"/>
  <c r="I46" i="16" s="1"/>
  <c r="J46" i="16" s="1"/>
  <c r="K46" i="16" s="1"/>
  <c r="L46" i="16" s="1"/>
  <c r="K37" i="16"/>
  <c r="K38" i="16" s="1"/>
  <c r="K35" i="16"/>
  <c r="AA13" i="13"/>
  <c r="Z12" i="13"/>
  <c r="P21" i="16" l="1"/>
  <c r="L35" i="16"/>
  <c r="N35" i="16" s="1"/>
  <c r="O35" i="16" s="1"/>
  <c r="O36" i="16" s="1"/>
  <c r="L37" i="16"/>
  <c r="L38" i="16" s="1"/>
  <c r="P19" i="16"/>
  <c r="AA14" i="13"/>
  <c r="Z13" i="13"/>
  <c r="I38" i="16" l="1"/>
  <c r="I47" i="16" s="1"/>
  <c r="J47" i="16" s="1"/>
  <c r="K47" i="16" s="1"/>
  <c r="L47" i="16" s="1"/>
  <c r="N37" i="16"/>
  <c r="O37" i="16" s="1"/>
  <c r="O38" i="16" s="1"/>
  <c r="AA15" i="13"/>
  <c r="Z14" i="13"/>
  <c r="AA16" i="13" l="1"/>
  <c r="Z16" i="13" s="1"/>
  <c r="Z15" i="13"/>
  <c r="Z2" i="13" l="1"/>
  <c r="V37" i="19"/>
  <c r="V38" i="19"/>
  <c r="N165" i="15"/>
</calcChain>
</file>

<file path=xl/sharedStrings.xml><?xml version="1.0" encoding="utf-8"?>
<sst xmlns="http://schemas.openxmlformats.org/spreadsheetml/2006/main" count="1733" uniqueCount="322">
  <si>
    <t>일자</t>
    <phoneticPr fontId="2" type="noConversion"/>
  </si>
  <si>
    <t>관람객</t>
    <phoneticPr fontId="2" type="noConversion"/>
  </si>
  <si>
    <t>전시명</t>
    <phoneticPr fontId="2" type="noConversion"/>
  </si>
  <si>
    <t>바스키아</t>
  </si>
  <si>
    <t>드리머</t>
  </si>
  <si>
    <t>김정기</t>
  </si>
  <si>
    <t>시작</t>
    <phoneticPr fontId="2" type="noConversion"/>
  </si>
  <si>
    <t>종료</t>
    <phoneticPr fontId="2" type="noConversion"/>
  </si>
  <si>
    <t/>
  </si>
  <si>
    <t>기간</t>
    <phoneticPr fontId="2" type="noConversion"/>
  </si>
  <si>
    <t>알렉스</t>
  </si>
  <si>
    <t>페어리</t>
  </si>
  <si>
    <t>마르지엘라</t>
  </si>
  <si>
    <t>제이알</t>
  </si>
  <si>
    <t>오스틴 리</t>
  </si>
  <si>
    <t>윤협</t>
  </si>
  <si>
    <t>기전시평균</t>
    <phoneticPr fontId="2" type="noConversion"/>
  </si>
  <si>
    <t>일차</t>
  </si>
  <si>
    <t>일차</t>
    <phoneticPr fontId="2" type="noConversion"/>
  </si>
  <si>
    <t>전시</t>
    <phoneticPr fontId="2" type="noConversion"/>
  </si>
  <si>
    <t>=SERIES(일차,,범위_바스키아,2)</t>
    <phoneticPr fontId="2" type="noConversion"/>
  </si>
  <si>
    <t>바스키아제외</t>
    <phoneticPr fontId="2" type="noConversion"/>
  </si>
  <si>
    <t>일수</t>
    <phoneticPr fontId="2" type="noConversion"/>
  </si>
  <si>
    <t>기준일자</t>
    <phoneticPr fontId="2" type="noConversion"/>
  </si>
  <si>
    <t>윤협</t>
    <phoneticPr fontId="2" type="noConversion"/>
  </si>
  <si>
    <t>일평균
관람객</t>
    <phoneticPr fontId="2" type="noConversion"/>
  </si>
  <si>
    <t>뮤지엄 관람객 현황</t>
    <phoneticPr fontId="2" type="noConversion"/>
  </si>
  <si>
    <t>(단위:명,일,%)</t>
    <phoneticPr fontId="2" type="noConversion"/>
  </si>
  <si>
    <t>■ 관람객 실적 요약</t>
    <phoneticPr fontId="2" type="noConversion"/>
  </si>
  <si>
    <t>구분</t>
    <phoneticPr fontId="2" type="noConversion"/>
  </si>
  <si>
    <t>제이알</t>
    <phoneticPr fontId="2" type="noConversion"/>
  </si>
  <si>
    <t>마르지엘라</t>
    <phoneticPr fontId="2" type="noConversion"/>
  </si>
  <si>
    <t>오스틴 리</t>
    <phoneticPr fontId="2" type="noConversion"/>
  </si>
  <si>
    <t>페어리</t>
    <phoneticPr fontId="2" type="noConversion"/>
  </si>
  <si>
    <t>알렉스</t>
    <phoneticPr fontId="2" type="noConversion"/>
  </si>
  <si>
    <t>드리머</t>
    <phoneticPr fontId="2" type="noConversion"/>
  </si>
  <si>
    <t>김정기</t>
    <phoneticPr fontId="2" type="noConversion"/>
  </si>
  <si>
    <t>바스키아</t>
    <phoneticPr fontId="2" type="noConversion"/>
  </si>
  <si>
    <t>■ 최근 일주일 관람객 추이 (2020년 바스키아 이후 기준)</t>
    <phoneticPr fontId="2" type="noConversion"/>
  </si>
  <si>
    <t>전체평균</t>
    <phoneticPr fontId="2" type="noConversion"/>
  </si>
  <si>
    <t>관람객
진도율</t>
    <phoneticPr fontId="2" type="noConversion"/>
  </si>
  <si>
    <t>일자
진도율</t>
    <phoneticPr fontId="2" type="noConversion"/>
  </si>
  <si>
    <t>목표
관람객</t>
    <phoneticPr fontId="2" type="noConversion"/>
  </si>
  <si>
    <t>일차
해당일자</t>
    <phoneticPr fontId="2" type="noConversion"/>
  </si>
  <si>
    <t>기간중
실적</t>
    <phoneticPr fontId="2" type="noConversion"/>
  </si>
  <si>
    <t>■ 참고 (전시별 관람객)</t>
    <phoneticPr fontId="2" type="noConversion"/>
  </si>
  <si>
    <t>국내작가전</t>
    <phoneticPr fontId="2" type="noConversion"/>
  </si>
  <si>
    <t>현추세
예상관람객</t>
    <phoneticPr fontId="2" type="noConversion"/>
  </si>
  <si>
    <t>금일 관람객</t>
    <phoneticPr fontId="2" type="noConversion"/>
  </si>
  <si>
    <t>판매처</t>
    <phoneticPr fontId="2" type="noConversion"/>
  </si>
  <si>
    <t>인터파크</t>
    <phoneticPr fontId="2" type="noConversion"/>
  </si>
  <si>
    <t>네이버</t>
    <phoneticPr fontId="2" type="noConversion"/>
  </si>
  <si>
    <t>카카오</t>
    <phoneticPr fontId="2" type="noConversion"/>
  </si>
  <si>
    <t>판매단가</t>
    <phoneticPr fontId="2" type="noConversion"/>
  </si>
  <si>
    <t>판매</t>
    <phoneticPr fontId="2" type="noConversion"/>
  </si>
  <si>
    <t>취소/환불</t>
    <phoneticPr fontId="2" type="noConversion"/>
  </si>
  <si>
    <t>회수</t>
    <phoneticPr fontId="2" type="noConversion"/>
  </si>
  <si>
    <t>%</t>
    <phoneticPr fontId="2" type="noConversion"/>
  </si>
  <si>
    <t>계</t>
    <phoneticPr fontId="2" type="noConversion"/>
  </si>
  <si>
    <t>■ 얼리버드 티켓 회수현황 (전일기준)</t>
    <phoneticPr fontId="2" type="noConversion"/>
  </si>
  <si>
    <t>29Cm</t>
    <phoneticPr fontId="2" type="noConversion"/>
  </si>
  <si>
    <t>%(취소제외)</t>
    <phoneticPr fontId="2" type="noConversion"/>
  </si>
  <si>
    <t>미사용</t>
    <phoneticPr fontId="2" type="noConversion"/>
  </si>
  <si>
    <t>관람객중
얼리버드비율</t>
    <phoneticPr fontId="2" type="noConversion"/>
  </si>
  <si>
    <t>평균대비 윤협</t>
    <phoneticPr fontId="2" type="noConversion"/>
  </si>
  <si>
    <t>국내작가평균</t>
    <phoneticPr fontId="2" type="noConversion"/>
  </si>
  <si>
    <t>일평균(명)</t>
    <phoneticPr fontId="2" type="noConversion"/>
  </si>
  <si>
    <t>총관람객(명)</t>
    <phoneticPr fontId="2" type="noConversion"/>
  </si>
  <si>
    <t>※ Bold표시 : 전시별 해당주차 평균 이상 관람객</t>
    <phoneticPr fontId="2" type="noConversion"/>
  </si>
  <si>
    <t>윤협기준 일자</t>
    <phoneticPr fontId="2" type="noConversion"/>
  </si>
  <si>
    <t>윤협기준 요일</t>
    <phoneticPr fontId="2" type="noConversion"/>
  </si>
  <si>
    <t>평일평균</t>
    <phoneticPr fontId="2" type="noConversion"/>
  </si>
  <si>
    <t>주말평균</t>
    <phoneticPr fontId="2" type="noConversion"/>
  </si>
  <si>
    <t>기준일자</t>
    <phoneticPr fontId="2" type="noConversion"/>
  </si>
  <si>
    <t>시작일</t>
    <phoneticPr fontId="2" type="noConversion"/>
  </si>
  <si>
    <t>차수</t>
    <phoneticPr fontId="2" type="noConversion"/>
  </si>
  <si>
    <t>평일</t>
    <phoneticPr fontId="2" type="noConversion"/>
  </si>
  <si>
    <t>주말</t>
    <phoneticPr fontId="2" type="noConversion"/>
  </si>
  <si>
    <t>계</t>
    <phoneticPr fontId="2" type="noConversion"/>
  </si>
  <si>
    <t>윤협 주말</t>
    <phoneticPr fontId="2" type="noConversion"/>
  </si>
  <si>
    <t>윤협 평일(누계)</t>
    <phoneticPr fontId="2" type="noConversion"/>
  </si>
  <si>
    <t>인원</t>
    <phoneticPr fontId="2" type="noConversion"/>
  </si>
  <si>
    <t>평균</t>
    <phoneticPr fontId="2" type="noConversion"/>
  </si>
  <si>
    <t>윤협비교</t>
    <phoneticPr fontId="2" type="noConversion"/>
  </si>
  <si>
    <t>■ 해당일차 기준 전시별 주말/주중관람객</t>
    <phoneticPr fontId="2" type="noConversion"/>
  </si>
  <si>
    <t>트랜드</t>
  </si>
  <si>
    <t>순위</t>
    <phoneticPr fontId="2" type="noConversion"/>
  </si>
  <si>
    <r>
      <t>■ 최근 일주일 관람객 추이</t>
    </r>
    <r>
      <rPr>
        <sz val="9"/>
        <color theme="1"/>
        <rFont val="나눔바른고딕OTF"/>
        <family val="1"/>
        <charset val="129"/>
      </rPr>
      <t xml:space="preserve"> (2020년 바스키아 이후 기준)</t>
    </r>
    <phoneticPr fontId="2" type="noConversion"/>
  </si>
  <si>
    <t>평일/주말</t>
    <phoneticPr fontId="2" type="noConversion"/>
  </si>
  <si>
    <t>※ 첨부 : 전시별 일자 차수별 그래프</t>
    <phoneticPr fontId="2" type="noConversion"/>
  </si>
  <si>
    <t>★ 매주목 대표님 보고</t>
    <phoneticPr fontId="2" type="noConversion"/>
  </si>
  <si>
    <t>지수</t>
    <phoneticPr fontId="2" type="noConversion"/>
  </si>
  <si>
    <t>긍정</t>
    <phoneticPr fontId="2" type="noConversion"/>
  </si>
  <si>
    <t>부정</t>
    <phoneticPr fontId="2" type="noConversion"/>
  </si>
  <si>
    <t>전주대비</t>
    <phoneticPr fontId="2" type="noConversion"/>
  </si>
  <si>
    <t>당일 관람객</t>
    <phoneticPr fontId="2" type="noConversion"/>
  </si>
  <si>
    <t>윤협 평일</t>
    <phoneticPr fontId="2" type="noConversion"/>
  </si>
  <si>
    <t>무료</t>
    <phoneticPr fontId="2" type="noConversion"/>
  </si>
  <si>
    <t>유료</t>
    <phoneticPr fontId="2" type="noConversion"/>
  </si>
  <si>
    <t>전체</t>
    <phoneticPr fontId="2" type="noConversion"/>
  </si>
  <si>
    <t>※ 무료: 초대권, 무료, 교환권 미반영</t>
    <phoneticPr fontId="2" type="noConversion"/>
  </si>
  <si>
    <t>마르지엘라</t>
    <phoneticPr fontId="2" type="noConversion"/>
  </si>
  <si>
    <t>추세</t>
    <phoneticPr fontId="2" type="noConversion"/>
  </si>
  <si>
    <t>윤협추정</t>
    <phoneticPr fontId="2" type="noConversion"/>
  </si>
  <si>
    <t>윤협추세</t>
    <phoneticPr fontId="2" type="noConversion"/>
  </si>
  <si>
    <t>트랜드</t>
    <phoneticPr fontId="2" type="noConversion"/>
  </si>
  <si>
    <t>예상편차</t>
    <phoneticPr fontId="2" type="noConversion"/>
  </si>
  <si>
    <t>■ 추세감안 관람객 예상 (단순계산)</t>
    <phoneticPr fontId="2" type="noConversion"/>
  </si>
  <si>
    <t>직전(오스틴 리) 평균관람객 차이 기준</t>
    <phoneticPr fontId="2" type="noConversion"/>
  </si>
  <si>
    <t>잔여일수</t>
    <phoneticPr fontId="2" type="noConversion"/>
  </si>
  <si>
    <t>일평균 관람객기준</t>
    <phoneticPr fontId="2" type="noConversion"/>
  </si>
  <si>
    <t>주차</t>
    <phoneticPr fontId="2" type="noConversion"/>
  </si>
  <si>
    <t>1주대비 지수</t>
    <phoneticPr fontId="2" type="noConversion"/>
  </si>
  <si>
    <t>누계</t>
    <phoneticPr fontId="2" type="noConversion"/>
  </si>
  <si>
    <t>윤협실적 MAX주차</t>
    <phoneticPr fontId="2" type="noConversion"/>
  </si>
  <si>
    <t>윤협 1주차</t>
    <phoneticPr fontId="2" type="noConversion"/>
  </si>
  <si>
    <t>일평균</t>
    <phoneticPr fontId="2" type="noConversion"/>
  </si>
  <si>
    <t>윤협실적</t>
    <phoneticPr fontId="2" type="noConversion"/>
  </si>
  <si>
    <t>윤협 지수추정(E)</t>
  </si>
  <si>
    <t>윤협 지수추정(E)</t>
    <phoneticPr fontId="2" type="noConversion"/>
  </si>
  <si>
    <t>기간중 실적</t>
    <phoneticPr fontId="2" type="noConversion"/>
  </si>
  <si>
    <t>일평균관람객</t>
    <phoneticPr fontId="2" type="noConversion"/>
  </si>
  <si>
    <t>최근 7일 트랜드</t>
    <phoneticPr fontId="2" type="noConversion"/>
  </si>
  <si>
    <t xml:space="preserve">       ■ 참고 (전시별 관람객)</t>
    <phoneticPr fontId="2" type="noConversion"/>
  </si>
  <si>
    <t>■ 마르지엘라(MR) 주차별 1주대비 관람객 지수대비 추정</t>
    <phoneticPr fontId="2" type="noConversion"/>
  </si>
  <si>
    <t>MR관람객</t>
    <phoneticPr fontId="2" type="noConversion"/>
  </si>
  <si>
    <t>MR 대비</t>
    <phoneticPr fontId="2" type="noConversion"/>
  </si>
  <si>
    <t>직전(오스틴 리) 평균관람객 차이 기준 &lt;낙관&gt;</t>
    <phoneticPr fontId="2" type="noConversion"/>
  </si>
  <si>
    <r>
      <t>■ 최근 일주일 일평균 관람객 추이</t>
    </r>
    <r>
      <rPr>
        <b/>
        <sz val="9"/>
        <color theme="1"/>
        <rFont val="나눔바른고딕OTF"/>
        <family val="1"/>
        <charset val="129"/>
      </rPr>
      <t xml:space="preserve"> (2020년 바스키아 이후 기준)</t>
    </r>
    <phoneticPr fontId="2" type="noConversion"/>
  </si>
  <si>
    <t>전체평균(윤협외)</t>
    <phoneticPr fontId="2" type="noConversion"/>
  </si>
  <si>
    <t>(현재 &lt;- 과거)</t>
    <phoneticPr fontId="2" type="noConversion"/>
  </si>
  <si>
    <t>전체기간일평균</t>
    <phoneticPr fontId="2" type="noConversion"/>
  </si>
  <si>
    <t>일평균</t>
    <phoneticPr fontId="2" type="noConversion"/>
  </si>
  <si>
    <t>※ §  : 전체기간 일평균 대비, △ : 증가, ▼ : 감소</t>
    <phoneticPr fontId="2" type="noConversion"/>
  </si>
  <si>
    <t>전체평균</t>
    <phoneticPr fontId="2" type="noConversion"/>
  </si>
  <si>
    <t>당일평균</t>
    <phoneticPr fontId="2" type="noConversion"/>
  </si>
  <si>
    <t>경과</t>
    <phoneticPr fontId="2" type="noConversion"/>
  </si>
  <si>
    <t>잔여</t>
    <phoneticPr fontId="2" type="noConversion"/>
  </si>
  <si>
    <t>누계
관람객</t>
    <phoneticPr fontId="2" type="noConversion"/>
  </si>
  <si>
    <t>평균
관람객</t>
    <phoneticPr fontId="2" type="noConversion"/>
  </si>
  <si>
    <t>경과/진도율</t>
    <phoneticPr fontId="2" type="noConversion"/>
  </si>
  <si>
    <t>2. 전체기간 관람객 예상</t>
    <phoneticPr fontId="2" type="noConversion"/>
  </si>
  <si>
    <t>전체기간</t>
    <phoneticPr fontId="2" type="noConversion"/>
  </si>
  <si>
    <t>해외전시</t>
  </si>
  <si>
    <t>국내전시</t>
  </si>
  <si>
    <t>평균</t>
  </si>
  <si>
    <t>직전(오스틴 리) 
평균관람객  &lt;낙관&gt;</t>
    <phoneticPr fontId="2" type="noConversion"/>
  </si>
  <si>
    <t>일평균 관람객</t>
    <phoneticPr fontId="2" type="noConversion"/>
  </si>
  <si>
    <t>마르지엘라 
1주대비 지수 &lt;비관&gt;</t>
    <phoneticPr fontId="2" type="noConversion"/>
  </si>
  <si>
    <t>국내평균 대비</t>
  </si>
  <si>
    <t>해외평균 대비</t>
  </si>
  <si>
    <t>현추세 대비</t>
    <phoneticPr fontId="2" type="noConversion"/>
  </si>
  <si>
    <t>직전전시 대비</t>
    <phoneticPr fontId="2" type="noConversion"/>
  </si>
  <si>
    <t>대기만성형</t>
    <phoneticPr fontId="2" type="noConversion"/>
  </si>
  <si>
    <t>용두사미</t>
    <phoneticPr fontId="2" type="noConversion"/>
  </si>
  <si>
    <t>용두사미형</t>
    <phoneticPr fontId="2" type="noConversion"/>
  </si>
  <si>
    <t>일관형</t>
    <phoneticPr fontId="2" type="noConversion"/>
  </si>
  <si>
    <t>(단위 : 천명)</t>
    <phoneticPr fontId="2" type="noConversion"/>
  </si>
  <si>
    <t>해외
전시</t>
    <phoneticPr fontId="2" type="noConversion"/>
  </si>
  <si>
    <t>국내
전시</t>
    <phoneticPr fontId="2" type="noConversion"/>
  </si>
  <si>
    <t>대기만성</t>
    <phoneticPr fontId="2" type="noConversion"/>
  </si>
  <si>
    <t>첫2주대비
지수</t>
    <phoneticPr fontId="2" type="noConversion"/>
  </si>
  <si>
    <t>일관</t>
    <phoneticPr fontId="2" type="noConversion"/>
  </si>
  <si>
    <t>구분</t>
    <phoneticPr fontId="2" type="noConversion"/>
  </si>
  <si>
    <t>현상</t>
    <phoneticPr fontId="2" type="noConversion"/>
  </si>
  <si>
    <t>8w</t>
    <phoneticPr fontId="2" type="noConversion"/>
  </si>
  <si>
    <t>9w~</t>
    <phoneticPr fontId="2" type="noConversion"/>
  </si>
  <si>
    <t>초중기</t>
    <phoneticPr fontId="2" type="noConversion"/>
  </si>
  <si>
    <t>후기</t>
    <phoneticPr fontId="2" type="noConversion"/>
  </si>
  <si>
    <t>초중기
대비</t>
    <phoneticPr fontId="2" type="noConversion"/>
  </si>
  <si>
    <t>비 고</t>
    <phoneticPr fontId="2" type="noConversion"/>
  </si>
  <si>
    <t>실적</t>
    <phoneticPr fontId="2" type="noConversion"/>
  </si>
  <si>
    <t>추정</t>
    <phoneticPr fontId="2" type="noConversion"/>
  </si>
  <si>
    <t>국내평균
 대비</t>
    <phoneticPr fontId="2" type="noConversion"/>
  </si>
  <si>
    <t>해외평균
 대비</t>
    <phoneticPr fontId="2" type="noConversion"/>
  </si>
  <si>
    <t>(단위 : 천명)</t>
    <phoneticPr fontId="2" type="noConversion"/>
  </si>
  <si>
    <t>3. 증감지수 산출</t>
    <phoneticPr fontId="2" type="noConversion"/>
  </si>
  <si>
    <t>4. 현재전시 Sim</t>
    <phoneticPr fontId="2" type="noConversion"/>
  </si>
  <si>
    <t>트렌드
과거 -&gt; 최근</t>
    <phoneticPr fontId="2" type="noConversion"/>
  </si>
  <si>
    <t>반짝형</t>
    <phoneticPr fontId="2" type="noConversion"/>
  </si>
  <si>
    <t>국내전시평균(반짝형)</t>
    <phoneticPr fontId="2" type="noConversion"/>
  </si>
  <si>
    <t>국내평균(반짝형)</t>
    <phoneticPr fontId="2" type="noConversion"/>
  </si>
  <si>
    <t>누계(명)</t>
    <phoneticPr fontId="2" type="noConversion"/>
  </si>
  <si>
    <t>1. 당일 차수 진도현황</t>
    <phoneticPr fontId="2" type="noConversion"/>
  </si>
  <si>
    <t>관람객</t>
    <phoneticPr fontId="2" type="noConversion"/>
  </si>
  <si>
    <t>전체관람객</t>
    <phoneticPr fontId="2" type="noConversion"/>
  </si>
  <si>
    <t>유사범위</t>
    <phoneticPr fontId="2" type="noConversion"/>
  </si>
  <si>
    <t>구분</t>
    <phoneticPr fontId="2" type="noConversion"/>
  </si>
  <si>
    <t>….</t>
    <phoneticPr fontId="2" type="noConversion"/>
  </si>
  <si>
    <t>2. 전시별 2주 단위별 관람객 추이 _ 전시별 유형</t>
    <phoneticPr fontId="2" type="noConversion"/>
  </si>
  <si>
    <t>주차</t>
    <phoneticPr fontId="2" type="noConversion"/>
  </si>
  <si>
    <t>(단위 : 명)</t>
    <phoneticPr fontId="2" type="noConversion"/>
  </si>
  <si>
    <t>유형</t>
    <phoneticPr fontId="2" type="noConversion"/>
  </si>
  <si>
    <t>국내전시</t>
    <phoneticPr fontId="2" type="noConversion"/>
  </si>
  <si>
    <t>용두사미형</t>
    <phoneticPr fontId="2" type="noConversion"/>
  </si>
  <si>
    <t>평균</t>
    <phoneticPr fontId="2" type="noConversion"/>
  </si>
  <si>
    <t>U자형</t>
    <phoneticPr fontId="2" type="noConversion"/>
  </si>
  <si>
    <t>■ 평균관람객 대비  유사 수준 전시</t>
    <phoneticPr fontId="2" type="noConversion"/>
  </si>
  <si>
    <t>구분</t>
    <phoneticPr fontId="2" type="noConversion"/>
  </si>
  <si>
    <t>윤협</t>
    <phoneticPr fontId="2" type="noConversion"/>
  </si>
  <si>
    <t>1주대비 2주 지수</t>
    <phoneticPr fontId="2" type="noConversion"/>
  </si>
  <si>
    <t>1주대비 3주 지수</t>
    <phoneticPr fontId="2" type="noConversion"/>
  </si>
  <si>
    <t>2주대비 3주 지수</t>
    <phoneticPr fontId="2" type="noConversion"/>
  </si>
  <si>
    <t>누적관람객</t>
    <phoneticPr fontId="2" type="noConversion"/>
  </si>
  <si>
    <t>유형별</t>
    <phoneticPr fontId="2" type="noConversion"/>
  </si>
  <si>
    <t>합계</t>
    <phoneticPr fontId="2" type="noConversion"/>
  </si>
  <si>
    <t>유형수</t>
    <phoneticPr fontId="2" type="noConversion"/>
  </si>
  <si>
    <t>굴곡형</t>
    <phoneticPr fontId="2" type="noConversion"/>
  </si>
  <si>
    <t>반짝형</t>
    <phoneticPr fontId="2" type="noConversion"/>
  </si>
  <si>
    <t>비  고</t>
    <phoneticPr fontId="2" type="noConversion"/>
  </si>
  <si>
    <t>윤협
유사유형</t>
    <phoneticPr fontId="2" type="noConversion"/>
  </si>
  <si>
    <t>■ 전시별 1주 단위별 관람객 추이 _ 전시별 유형</t>
    <phoneticPr fontId="2" type="noConversion"/>
  </si>
  <si>
    <t>유형별 윤협예측</t>
    <phoneticPr fontId="2" type="noConversion"/>
  </si>
  <si>
    <t>주수</t>
    <phoneticPr fontId="2" type="noConversion"/>
  </si>
  <si>
    <t>1대비 평균지수</t>
    <phoneticPr fontId="2" type="noConversion"/>
  </si>
  <si>
    <t>이상</t>
    <phoneticPr fontId="2" type="noConversion"/>
  </si>
  <si>
    <t>이하</t>
    <phoneticPr fontId="2" type="noConversion"/>
  </si>
  <si>
    <t>윤협</t>
    <phoneticPr fontId="2" type="noConversion"/>
  </si>
  <si>
    <t>누적관람객</t>
    <phoneticPr fontId="2" type="noConversion"/>
  </si>
  <si>
    <t>전체
전시일수</t>
    <phoneticPr fontId="2" type="noConversion"/>
  </si>
  <si>
    <t>잔여기간
관람객</t>
    <phoneticPr fontId="2" type="noConversion"/>
  </si>
  <si>
    <t>잔여기간일수</t>
    <phoneticPr fontId="2" type="noConversion"/>
  </si>
  <si>
    <t>(단위:명)</t>
    <phoneticPr fontId="2" type="noConversion"/>
  </si>
  <si>
    <t>마르지엘라 1주대비 지수 기준 &lt;비관&gt;
-주단위 업데이트-</t>
    <phoneticPr fontId="2" type="noConversion"/>
  </si>
  <si>
    <t>※ 얼리버드 판매 미감안</t>
    <phoneticPr fontId="2" type="noConversion"/>
  </si>
  <si>
    <t>1주대비 4주 지수</t>
    <phoneticPr fontId="2" type="noConversion"/>
  </si>
  <si>
    <t>2주대비 4주 지수</t>
    <phoneticPr fontId="2" type="noConversion"/>
  </si>
  <si>
    <t>U자형 or 용두사미형</t>
    <phoneticPr fontId="2" type="noConversion"/>
  </si>
  <si>
    <r>
      <t xml:space="preserve">■ 최근 일주일 관람객 추이 </t>
    </r>
    <r>
      <rPr>
        <b/>
        <sz val="10"/>
        <color theme="1"/>
        <rFont val="나눔바른고딕OTF"/>
        <family val="1"/>
        <charset val="129"/>
      </rPr>
      <t>(2020년 바스키아 이후 기준)</t>
    </r>
    <phoneticPr fontId="2" type="noConversion"/>
  </si>
  <si>
    <r>
      <t xml:space="preserve">■ 추세감안 관람객 예상 </t>
    </r>
    <r>
      <rPr>
        <b/>
        <sz val="10"/>
        <color theme="1"/>
        <rFont val="나눔바른고딕OTF"/>
        <family val="1"/>
        <charset val="129"/>
      </rPr>
      <t>(단순계산)</t>
    </r>
    <phoneticPr fontId="2" type="noConversion"/>
  </si>
  <si>
    <r>
      <t>■ 유형별 경과주차 비교</t>
    </r>
    <r>
      <rPr>
        <b/>
        <sz val="10"/>
        <color theme="1"/>
        <rFont val="나눔바른고딕OTF"/>
        <family val="1"/>
        <charset val="129"/>
      </rPr>
      <t xml:space="preserve"> &lt;주별 업데이트&gt;</t>
    </r>
    <phoneticPr fontId="2" type="noConversion"/>
  </si>
  <si>
    <t>기울기</t>
    <phoneticPr fontId="2" type="noConversion"/>
  </si>
  <si>
    <t>Y절편</t>
    <phoneticPr fontId="2" type="noConversion"/>
  </si>
  <si>
    <t>상관계수</t>
    <phoneticPr fontId="2" type="noConversion"/>
  </si>
  <si>
    <t>상관계수</t>
    <phoneticPr fontId="2" type="noConversion"/>
  </si>
  <si>
    <t>굴곡형 or 반짝형</t>
    <phoneticPr fontId="2" type="noConversion"/>
  </si>
  <si>
    <t>※ 마르지엘라 추세 차이 지속 시 다른 유형 참조 추정반영 예정</t>
    <phoneticPr fontId="2" type="noConversion"/>
  </si>
  <si>
    <t>누계 &lt;주 경과후 주단위 업데이트&gt;</t>
    <phoneticPr fontId="2" type="noConversion"/>
  </si>
  <si>
    <t>유무료..</t>
    <phoneticPr fontId="2" type="noConversion"/>
  </si>
  <si>
    <t>얼리버드 취소현황..</t>
    <phoneticPr fontId="2" type="noConversion"/>
  </si>
  <si>
    <t>무료비율</t>
    <phoneticPr fontId="2" type="noConversion"/>
  </si>
  <si>
    <t>윤협유사유형</t>
    <phoneticPr fontId="2" type="noConversion"/>
  </si>
  <si>
    <r>
      <t xml:space="preserve">※ Bold표시 : 전시별 해당주차 평균 이상 관람객, △ : 증가, </t>
    </r>
    <r>
      <rPr>
        <sz val="9"/>
        <color rgb="FFC00000"/>
        <rFont val="나눔바른고딕 Light"/>
        <family val="3"/>
        <charset val="129"/>
      </rPr>
      <t>▼</t>
    </r>
    <r>
      <rPr>
        <sz val="9"/>
        <color theme="1"/>
        <rFont val="나눔바른고딕 Light"/>
        <family val="3"/>
        <charset val="129"/>
      </rPr>
      <t xml:space="preserve"> : 감소</t>
    </r>
    <phoneticPr fontId="2" type="noConversion"/>
  </si>
  <si>
    <t>2만 평균인원대비</t>
    <phoneticPr fontId="2" type="noConversion"/>
  </si>
  <si>
    <t>2.5만 평균인원대비</t>
    <phoneticPr fontId="2" type="noConversion"/>
  </si>
  <si>
    <t>일차해당일자</t>
    <phoneticPr fontId="2" type="noConversion"/>
  </si>
  <si>
    <r>
      <t xml:space="preserve">잔여기간
</t>
    </r>
    <r>
      <rPr>
        <b/>
        <sz val="9"/>
        <color theme="0"/>
        <rFont val="나눔바른고딕OTF"/>
        <family val="1"/>
        <charset val="129"/>
      </rPr>
      <t>일평균 관람객</t>
    </r>
    <phoneticPr fontId="2" type="noConversion"/>
  </si>
  <si>
    <t>뮤지엄 관람객 주차별 현황</t>
    <phoneticPr fontId="2" type="noConversion"/>
  </si>
  <si>
    <t>목표대비
평균관람객</t>
    <phoneticPr fontId="2" type="noConversion"/>
  </si>
  <si>
    <t>2. 주별 관람객 비교</t>
    <phoneticPr fontId="2" type="noConversion"/>
  </si>
  <si>
    <t>주차</t>
  </si>
  <si>
    <t>잔여주차</t>
    <phoneticPr fontId="2" type="noConversion"/>
  </si>
  <si>
    <t>주평균관람객</t>
    <phoneticPr fontId="2" type="noConversion"/>
  </si>
  <si>
    <t>3. 주차별 전시별 관람객 비교</t>
    <phoneticPr fontId="2" type="noConversion"/>
  </si>
  <si>
    <t>(단위 : 명)</t>
  </si>
  <si>
    <t>-          관람객 sim별 비교       -</t>
    <phoneticPr fontId="2" type="noConversion"/>
  </si>
  <si>
    <t>현주차경향시
전체관람객 예상</t>
    <phoneticPr fontId="2" type="noConversion"/>
  </si>
  <si>
    <t>윤협</t>
    <phoneticPr fontId="2" type="noConversion"/>
  </si>
  <si>
    <t>1주대비 5주 지수</t>
    <phoneticPr fontId="2" type="noConversion"/>
  </si>
  <si>
    <t>용두사미형</t>
    <phoneticPr fontId="2" type="noConversion"/>
  </si>
  <si>
    <t>2주대비 5주 지수</t>
    <phoneticPr fontId="2" type="noConversion"/>
  </si>
  <si>
    <t>3주대비 5주 지수</t>
    <phoneticPr fontId="2" type="noConversion"/>
  </si>
  <si>
    <t>4주대비 5주 지수</t>
    <phoneticPr fontId="2" type="noConversion"/>
  </si>
  <si>
    <t>반짝형</t>
    <phoneticPr fontId="2" type="noConversion"/>
  </si>
  <si>
    <t>목표대비
평균
관람객</t>
    <phoneticPr fontId="2" type="noConversion"/>
  </si>
  <si>
    <t>※ 얼리버드 미감안</t>
    <phoneticPr fontId="2" type="noConversion"/>
  </si>
  <si>
    <t>트렌드</t>
    <phoneticPr fontId="2" type="noConversion"/>
  </si>
  <si>
    <t>기간중 실적</t>
    <phoneticPr fontId="2" type="noConversion"/>
  </si>
  <si>
    <t>추세
기준</t>
    <phoneticPr fontId="2" type="noConversion"/>
  </si>
  <si>
    <t>초반유입
비중순위</t>
    <phoneticPr fontId="2" type="noConversion"/>
  </si>
  <si>
    <r>
      <rPr>
        <sz val="10.5"/>
        <color rgb="FFFF0000"/>
        <rFont val="나눔바른고딕OTF Light"/>
        <family val="3"/>
        <charset val="128"/>
      </rPr>
      <t>▼</t>
    </r>
    <r>
      <rPr>
        <sz val="10.5"/>
        <color theme="1"/>
        <rFont val="나눔바른고딕OTF Light"/>
        <family val="3"/>
        <charset val="128"/>
      </rPr>
      <t xml:space="preserve"> : 부족, △ : 여유</t>
    </r>
    <phoneticPr fontId="2" type="noConversion"/>
  </si>
  <si>
    <t>누계관람객</t>
    <phoneticPr fontId="2" type="noConversion"/>
  </si>
  <si>
    <t>6위</t>
    <phoneticPr fontId="2" type="noConversion"/>
  </si>
  <si>
    <t>해당주차까지
하락세</t>
    <phoneticPr fontId="2" type="noConversion"/>
  </si>
  <si>
    <t>해당주차까지
상승세</t>
    <phoneticPr fontId="2" type="noConversion"/>
  </si>
  <si>
    <t>전체
트렌드</t>
    <phoneticPr fontId="2" type="noConversion"/>
  </si>
  <si>
    <t>윤협</t>
    <phoneticPr fontId="2" type="noConversion"/>
  </si>
  <si>
    <t>중위수/
마지막주</t>
    <phoneticPr fontId="2" type="noConversion"/>
  </si>
  <si>
    <t>중위수/
평균</t>
    <phoneticPr fontId="2" type="noConversion"/>
  </si>
  <si>
    <t>1주대비 
마지막주</t>
    <phoneticPr fontId="2" type="noConversion"/>
  </si>
  <si>
    <t>전체대비 
마지막 2주</t>
    <phoneticPr fontId="2" type="noConversion"/>
  </si>
  <si>
    <t>바스키아</t>
    <phoneticPr fontId="2" type="noConversion"/>
  </si>
  <si>
    <t>김정기</t>
    <phoneticPr fontId="2" type="noConversion"/>
  </si>
  <si>
    <t>드리머</t>
    <phoneticPr fontId="2" type="noConversion"/>
  </si>
  <si>
    <t>알렉스</t>
    <phoneticPr fontId="2" type="noConversion"/>
  </si>
  <si>
    <t>마르지엘라</t>
    <phoneticPr fontId="2" type="noConversion"/>
  </si>
  <si>
    <t>제이알</t>
    <phoneticPr fontId="2" type="noConversion"/>
  </si>
  <si>
    <t>오스틴리</t>
    <phoneticPr fontId="2" type="noConversion"/>
  </si>
  <si>
    <t>페어리</t>
    <phoneticPr fontId="2" type="noConversion"/>
  </si>
  <si>
    <t>전일대비</t>
    <phoneticPr fontId="2" type="noConversion"/>
  </si>
  <si>
    <t>DashBoard</t>
    <phoneticPr fontId="2" type="noConversion"/>
  </si>
  <si>
    <t>일차</t>
    <phoneticPr fontId="2" type="noConversion"/>
  </si>
  <si>
    <t>윤협
평균관람객</t>
    <phoneticPr fontId="2" type="noConversion"/>
  </si>
  <si>
    <t>(동일축 절대비교)</t>
    <phoneticPr fontId="2" type="noConversion"/>
  </si>
  <si>
    <t>당일평균</t>
    <phoneticPr fontId="2" type="noConversion"/>
  </si>
  <si>
    <t>전일평균</t>
    <phoneticPr fontId="2" type="noConversion"/>
  </si>
  <si>
    <t>전일평균
대비
증감</t>
    <phoneticPr fontId="2" type="noConversion"/>
  </si>
  <si>
    <t>관람객실적</t>
    <phoneticPr fontId="2" type="noConversion"/>
  </si>
  <si>
    <t>입장객</t>
    <phoneticPr fontId="2" type="noConversion"/>
  </si>
  <si>
    <t>전시일수</t>
    <phoneticPr fontId="2" type="noConversion"/>
  </si>
  <si>
    <t>평균관람객</t>
    <phoneticPr fontId="2" type="noConversion"/>
  </si>
  <si>
    <t>진행전시</t>
    <phoneticPr fontId="2" type="noConversion"/>
  </si>
  <si>
    <t>작성일자</t>
    <phoneticPr fontId="2" type="noConversion"/>
  </si>
  <si>
    <t>잔여기간</t>
    <phoneticPr fontId="2" type="noConversion"/>
  </si>
  <si>
    <t>목표/실적</t>
    <phoneticPr fontId="2" type="noConversion"/>
  </si>
  <si>
    <t>전시수</t>
    <phoneticPr fontId="2" type="noConversion"/>
  </si>
  <si>
    <t>https://ko.extendoffice.com/documents/excel/3381-excel-extract-unique-values-with-criteria.html</t>
    <phoneticPr fontId="2" type="noConversion"/>
  </si>
  <si>
    <t>잔여일차</t>
    <phoneticPr fontId="2" type="noConversion"/>
  </si>
  <si>
    <t>23년 전시일차</t>
    <phoneticPr fontId="2" type="noConversion"/>
  </si>
  <si>
    <t>최근 1주 일평균 관람객 추이</t>
    <phoneticPr fontId="2" type="noConversion"/>
  </si>
  <si>
    <t>전시시작</t>
    <phoneticPr fontId="2" type="noConversion"/>
  </si>
  <si>
    <t>그래프</t>
    <phoneticPr fontId="2" type="noConversion"/>
  </si>
  <si>
    <t>1주대비 6주 지수</t>
    <phoneticPr fontId="2" type="noConversion"/>
  </si>
  <si>
    <t>2주대비 6주 지수</t>
    <phoneticPr fontId="2" type="noConversion"/>
  </si>
  <si>
    <t>3주대비 6주 지수</t>
    <phoneticPr fontId="2" type="noConversion"/>
  </si>
  <si>
    <t>4주대비 6주 지수</t>
    <phoneticPr fontId="2" type="noConversion"/>
  </si>
  <si>
    <t>5주대비 6주 지수</t>
    <phoneticPr fontId="2" type="noConversion"/>
  </si>
  <si>
    <t>1~6주대비 전체평균지수</t>
    <phoneticPr fontId="2" type="noConversion"/>
  </si>
  <si>
    <t>용두사미형 or 굴곡형</t>
    <phoneticPr fontId="2" type="noConversion"/>
  </si>
  <si>
    <t>년</t>
    <phoneticPr fontId="2" type="noConversion"/>
  </si>
  <si>
    <t>월</t>
    <phoneticPr fontId="2" type="noConversion"/>
  </si>
  <si>
    <t>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</si>
</sst>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7">
    <numFmt numFmtId="41" formatCode="_-* #,##0_-;\-* #,##0_-;_-* &quot;-&quot;_-;_-@_-"/>
    <numFmt numFmtId="176" formatCode="#,##0&quot;일&quot;&quot;차&quot;"/>
    <numFmt numFmtId="177" formatCode="#,##0\W"/>
    <numFmt numFmtId="178" formatCode="\(#,##0&quot;위&quot;\)"/>
    <numFmt numFmtId="179" formatCode="&quot;Av &quot;#,##0"/>
    <numFmt numFmtId="180" formatCode="#,##0;[Red]\▲#,##0"/>
    <numFmt numFmtId="181" formatCode="yy/mm/dd"/>
    <numFmt numFmtId="182" formatCode="#,##0&quot;일&quot;"/>
    <numFmt numFmtId="183" formatCode="#,##0&quot;명&quot;"/>
    <numFmt numFmtId="184" formatCode="yy\.mm\.dd"/>
    <numFmt numFmtId="185" formatCode="0.0_);[Red]\(0.0\)"/>
    <numFmt numFmtId="186" formatCode="0.0%"/>
    <numFmt numFmtId="187" formatCode="&quot;직전대비&quot;#,##0;[Red]&quot;직전대비&quot;\▲#,##0"/>
    <numFmt numFmtId="188" formatCode="@&quot;관&quot;&quot;람&quot;&quot;객&quot;"/>
    <numFmt numFmtId="189" formatCode="&quot;평&quot;&quot;균&quot;\ #,##0&quot;명&quot;"/>
    <numFmt numFmtId="190" formatCode="#,##0&quot;일&quot;&quot;차&quot;\ &quot;기&quot;&quot;준&quot;"/>
    <numFmt numFmtId="191" formatCode="&quot;윤협대비&quot;#,##0;[Red]&quot;윤협대비&quot;\▲#,##0"/>
    <numFmt numFmtId="192" formatCode="\ #,##0&quot;명&quot;;[Red]\▲#,##0&quot;명&quot;"/>
    <numFmt numFmtId="193" formatCode="\ \ \ \ \ \ \ \■\ #,##0&quot;일차 기준 전시별 평일/주말관람객&quot;"/>
    <numFmt numFmtId="194" formatCode="#,##0&quot;순위&quot;"/>
    <numFmt numFmtId="195" formatCode="&quot;국내평균대비&quot;#,##0\↑;[Red]&quot;국내평균대비&quot;#,##0\↓"/>
    <numFmt numFmtId="196" formatCode="&quot;전체평균대비&quot;#,##0\↑;[Red]&quot;전체평균대비&quot;#,##0\↓"/>
    <numFmt numFmtId="197" formatCode="#,##0\w"/>
    <numFmt numFmtId="198" formatCode="#,##0&quot;순위 / 8전시&quot;"/>
    <numFmt numFmtId="199" formatCode="\ \ \ \ \ \ \ \■\ #,##0&quot;일차 기준 전시별 누적, 평균관람객&quot;"/>
    <numFmt numFmtId="200" formatCode="\ \ \ \ \ \ \ \■\ #,##0&quot;일차 기준 전시별 관람객 추이&quot;"/>
    <numFmt numFmtId="201" formatCode="&quot;일평&quot;&quot;균&quot;\ #,##0&quot;명&quot;"/>
    <numFmt numFmtId="202" formatCode="&quot;누계 &quot;#,##0&quot;명&quot;"/>
    <numFmt numFmtId="203" formatCode="&quot;◁ &quot;#,##0&quot;일&quot;&quot;차&quot;"/>
    <numFmt numFmtId="204" formatCode="&quot;경과주차: &quot;#,##0&quot;명&quot;"/>
    <numFmt numFmtId="205" formatCode="&quot;잔여주차추정: &quot;#,##0&quot;명&quot;"/>
    <numFmt numFmtId="206" formatCode="&quot;  &quot;#,##0&quot;일&quot;&quot;차&quot;"/>
    <numFmt numFmtId="207" formatCode="&quot;예상인원시 일평균관람객: &quot;#,##0&quot;명&quot;"/>
    <numFmt numFmtId="208" formatCode="&quot;직전대비&quot;\▲#,##0&quot;명&quot;;[Red]&quot;직전대비&quot;\▼#,##0&quot;명&quot;"/>
    <numFmt numFmtId="209" formatCode="\ \△#,##0&quot;명&quot;;[Red]\▼#,##0&quot;명&quot;"/>
    <numFmt numFmtId="210" formatCode="\△#,##0;[Red]\▼#,##0"/>
    <numFmt numFmtId="211" formatCode="#,##0%;[Red]\▲#,##0%"/>
    <numFmt numFmtId="212" formatCode="#,##0&quot;명 여유&quot;;[Red]#,##0&quot;명 부족&quot;"/>
    <numFmt numFmtId="213" formatCode="#,##0.0,"/>
    <numFmt numFmtId="214" formatCode="\△#,##0.0,;[Red]\▲#,##0.0,"/>
    <numFmt numFmtId="215" formatCode="#,##0&quot;명&quot;&quot;대&quot;&quot;비&quot;"/>
    <numFmt numFmtId="216" formatCode="#,##0&quot;명&quot;;[Red]\▲#,##0&quot;명&quot;"/>
    <numFmt numFmtId="217" formatCode="\ \△#,##0.0,;[Red]\▼#,##0.0,"/>
    <numFmt numFmtId="218" formatCode="#,##0\w\~"/>
    <numFmt numFmtId="219" formatCode="\(\△#,##0.0%\);[Red]\(\▲#,##0.0%\)"/>
    <numFmt numFmtId="220" formatCode="0.0;[Red]\▲0.0"/>
    <numFmt numFmtId="221" formatCode="#,##0.0;[Red]\▲#,##0.0"/>
    <numFmt numFmtId="222" formatCode="#,##0.000000"/>
    <numFmt numFmtId="223" formatCode="&quot;국내평균대비&quot;\△#,##0;[Red]&quot;국내평균대비&quot;\▼#,##0"/>
    <numFmt numFmtId="224" formatCode="&quot;전체평균대비&quot;\△#,##0;[Red]&quot;전체평균대비&quot;\▼#,##0"/>
    <numFmt numFmtId="225" formatCode="&quot;전체 &quot;#,##0&quot;명&quot;"/>
    <numFmt numFmtId="226" formatCode="&quot;현재 &quot;#,##0&quot;명&quot;"/>
    <numFmt numFmtId="227" formatCode="&quot;전체기간 : &quot;#,##0&quot;명&quot;"/>
    <numFmt numFmtId="228" formatCode="#,##0&quot;주&quot;&quot;차&quot;"/>
    <numFmt numFmtId="229" formatCode="#,##0.0&quot;주&quot;"/>
    <numFmt numFmtId="230" formatCode="\△#,##0&quot;명&quot;;[Red]\▼#,##0&quot;명&quot;"/>
    <numFmt numFmtId="231" formatCode="#,##0.0"/>
    <numFmt numFmtId="232" formatCode="#,##0&quot;위&quot;"/>
    <numFmt numFmtId="233" formatCode="#,##0&quot;위&quot;;[Red]\▲#,##0"/>
    <numFmt numFmtId="234" formatCode="&quot;경과주&quot;\(#,##0&quot;주)&quot;"/>
    <numFmt numFmtId="235" formatCode="#,##0&quot;주 이후&quot;"/>
    <numFmt numFmtId="236" formatCode="&quot;전일대비&quot;\△#,##0;&quot;전일대비&quot;\▼#,##0"/>
    <numFmt numFmtId="237" formatCode="#,##0.0&quot;만&quot;&quot;명&quot;"/>
    <numFmt numFmtId="238" formatCode="\△\ #,##0&quot;명&quot;;[Red]\▼\ #,##0&quot;명&quot;"/>
    <numFmt numFmtId="239" formatCode="&quot;△ &quot;#,##0;[Red]&quot;▼ &quot;#,##0"/>
    <numFmt numFmtId="240" formatCode="\(#,##0&quot;일&quot;&quot;차&quot;\)"/>
    <numFmt numFmtId="241" formatCode="mm\.dd"/>
  </numFmts>
  <fonts count="104" x14ac:knownFonts="1">
    <font>
      <sz val="9"/>
      <color theme="1"/>
      <name val="나눔바른고딕OTF"/>
      <family val="2"/>
      <charset val="129"/>
    </font>
    <font>
      <sz val="9"/>
      <color theme="1"/>
      <name val="나눔바른고딕OTF Light"/>
      <family val="3"/>
      <charset val="129"/>
    </font>
    <font>
      <sz val="8"/>
      <name val="나눔바른고딕OTF"/>
      <family val="2"/>
      <charset val="129"/>
    </font>
    <font>
      <sz val="8"/>
      <color theme="1"/>
      <name val="나눔바른고딕OTF Light"/>
      <family val="3"/>
      <charset val="129"/>
    </font>
    <font>
      <b/>
      <sz val="12"/>
      <color theme="0"/>
      <name val="나눔바른고딕OTF"/>
      <family val="1"/>
      <charset val="129"/>
    </font>
    <font>
      <b/>
      <sz val="15"/>
      <color theme="1"/>
      <name val="나눔바른고딕OTF"/>
      <family val="1"/>
      <charset val="129"/>
    </font>
    <font>
      <sz val="10"/>
      <color theme="5" tint="-0.249977111117893"/>
      <name val="나눔바른고딕OTF"/>
      <family val="2"/>
      <charset val="129"/>
    </font>
    <font>
      <sz val="15"/>
      <color theme="1"/>
      <name val="나눔바른고딕OTF"/>
      <family val="2"/>
      <charset val="129"/>
    </font>
    <font>
      <sz val="9"/>
      <color theme="1"/>
      <name val="나눔바른고딕 Light"/>
      <family val="3"/>
      <charset val="129"/>
    </font>
    <font>
      <b/>
      <sz val="15"/>
      <color theme="0"/>
      <name val="나눔바른고딕 Light"/>
      <family val="3"/>
      <charset val="129"/>
    </font>
    <font>
      <sz val="9"/>
      <color theme="1"/>
      <name val="나눔바른고딕OTF"/>
      <family val="1"/>
      <charset val="129"/>
    </font>
    <font>
      <b/>
      <sz val="15"/>
      <color theme="0"/>
      <name val="나눔바른고딕OTF"/>
      <family val="1"/>
      <charset val="129"/>
    </font>
    <font>
      <sz val="9"/>
      <name val="나눔바른고딕 Light"/>
      <family val="3"/>
      <charset val="129"/>
    </font>
    <font>
      <sz val="9"/>
      <color theme="1" tint="0.34998626667073579"/>
      <name val="나눔바른고딕 Light"/>
      <family val="3"/>
      <charset val="129"/>
    </font>
    <font>
      <sz val="12"/>
      <color theme="0"/>
      <name val="나눔바른고딕OTF"/>
      <family val="1"/>
      <charset val="129"/>
    </font>
    <font>
      <sz val="11"/>
      <color theme="1"/>
      <name val="나눔바른고딕OTF"/>
      <family val="1"/>
      <charset val="129"/>
    </font>
    <font>
      <sz val="9"/>
      <name val="나눔바른고딕OTF"/>
      <family val="1"/>
      <charset val="129"/>
    </font>
    <font>
      <sz val="11"/>
      <color theme="0"/>
      <name val="나눔바른고딕OTF"/>
      <family val="1"/>
      <charset val="129"/>
    </font>
    <font>
      <u/>
      <sz val="10"/>
      <name val="나눔바른고딕OTF"/>
      <family val="1"/>
      <charset val="129"/>
    </font>
    <font>
      <b/>
      <sz val="9"/>
      <color rgb="FFC00000"/>
      <name val="나눔바른고딕OTF"/>
      <family val="1"/>
      <charset val="129"/>
    </font>
    <font>
      <b/>
      <sz val="9"/>
      <color theme="1"/>
      <name val="나눔바른고딕 Light"/>
      <family val="3"/>
      <charset val="129"/>
    </font>
    <font>
      <sz val="9"/>
      <color theme="0"/>
      <name val="나눔바른고딕 Light"/>
      <family val="3"/>
      <charset val="129"/>
    </font>
    <font>
      <sz val="10"/>
      <color theme="1"/>
      <name val="나눔바른고딕OTF"/>
      <family val="1"/>
      <charset val="129"/>
    </font>
    <font>
      <b/>
      <sz val="15"/>
      <name val="나눔바른고딕OTF"/>
      <family val="1"/>
      <charset val="129"/>
    </font>
    <font>
      <b/>
      <sz val="15"/>
      <name val="나눔바른고딕 Light"/>
      <family val="3"/>
      <charset val="129"/>
    </font>
    <font>
      <b/>
      <sz val="10"/>
      <color theme="1"/>
      <name val="나눔바른고딕OTF"/>
      <family val="1"/>
      <charset val="129"/>
    </font>
    <font>
      <b/>
      <sz val="9"/>
      <color theme="1"/>
      <name val="나눔바른고딕OTF Light"/>
      <family val="3"/>
      <charset val="129"/>
    </font>
    <font>
      <sz val="9"/>
      <color rgb="FFFF0000"/>
      <name val="나눔바른고딕OTF"/>
      <family val="2"/>
      <charset val="129"/>
    </font>
    <font>
      <sz val="11"/>
      <color theme="1"/>
      <name val="나눔바른고딕 Light"/>
      <family val="3"/>
      <charset val="129"/>
    </font>
    <font>
      <b/>
      <i/>
      <u/>
      <sz val="8"/>
      <color theme="1"/>
      <name val="나눔바른고딕OTF Light"/>
      <family val="3"/>
      <charset val="129"/>
    </font>
    <font>
      <b/>
      <sz val="11"/>
      <color theme="1"/>
      <name val="나눔바른고딕OTF"/>
      <family val="1"/>
      <charset val="129"/>
    </font>
    <font>
      <b/>
      <sz val="9"/>
      <color theme="1"/>
      <name val="나눔바른고딕OTF"/>
      <family val="1"/>
      <charset val="129"/>
    </font>
    <font>
      <sz val="10"/>
      <color theme="0"/>
      <name val="나눔바른고딕OTF"/>
      <family val="1"/>
      <charset val="129"/>
    </font>
    <font>
      <sz val="10"/>
      <color theme="1"/>
      <name val="나눔바른고딕 Light"/>
      <family val="3"/>
      <charset val="129"/>
    </font>
    <font>
      <b/>
      <sz val="11"/>
      <color theme="1"/>
      <name val="나눔바른고딕 Light"/>
      <family val="3"/>
      <charset val="129"/>
    </font>
    <font>
      <sz val="10.5"/>
      <color theme="1"/>
      <name val="나눔바른고딕 Light"/>
      <family val="3"/>
      <charset val="129"/>
    </font>
    <font>
      <b/>
      <sz val="11"/>
      <name val="나눔바른고딕OTF Light"/>
      <family val="3"/>
      <charset val="129"/>
    </font>
    <font>
      <b/>
      <sz val="10.5"/>
      <color theme="1"/>
      <name val="나눔바른고딕OTF"/>
      <family val="1"/>
      <charset val="129"/>
    </font>
    <font>
      <b/>
      <sz val="11"/>
      <color theme="8" tint="-0.249977111117893"/>
      <name val="나눔바른고딕OTF"/>
      <family val="1"/>
      <charset val="129"/>
    </font>
    <font>
      <sz val="10"/>
      <color theme="1"/>
      <name val="나눔바른고딕OTF Light"/>
      <family val="3"/>
      <charset val="129"/>
    </font>
    <font>
      <b/>
      <sz val="10"/>
      <color theme="1"/>
      <name val="나눔바른고딕OTF Light"/>
      <family val="3"/>
      <charset val="129"/>
    </font>
    <font>
      <sz val="12"/>
      <color theme="1"/>
      <name val="나눔바른고딕OTF"/>
      <family val="2"/>
      <charset val="129"/>
    </font>
    <font>
      <sz val="12"/>
      <color theme="1"/>
      <name val="나눔바른고딕OTF"/>
      <family val="1"/>
      <charset val="129"/>
    </font>
    <font>
      <sz val="10"/>
      <color theme="0"/>
      <name val="나눔바른고딕OTF Light"/>
      <family val="3"/>
      <charset val="129"/>
    </font>
    <font>
      <sz val="8"/>
      <color theme="1"/>
      <name val="나눔바른고딕 Light"/>
      <family val="3"/>
      <charset val="129"/>
    </font>
    <font>
      <b/>
      <sz val="17"/>
      <color theme="0"/>
      <name val="나눔바른고딕OTF"/>
      <family val="1"/>
      <charset val="129"/>
    </font>
    <font>
      <b/>
      <sz val="9"/>
      <color rgb="FFFF0000"/>
      <name val="나눔바른고딕OTF"/>
      <family val="1"/>
      <charset val="129"/>
    </font>
    <font>
      <sz val="9"/>
      <color theme="1" tint="0.499984740745262"/>
      <name val="나눔바른고딕OTF"/>
      <family val="2"/>
      <charset val="129"/>
    </font>
    <font>
      <sz val="9"/>
      <color theme="1" tint="0.499984740745262"/>
      <name val="나눔바른고딕OTF"/>
      <family val="1"/>
      <charset val="129"/>
    </font>
    <font>
      <sz val="8"/>
      <color theme="1" tint="0.499984740745262"/>
      <name val="나눔바른고딕 Light"/>
      <family val="3"/>
      <charset val="129"/>
    </font>
    <font>
      <sz val="11"/>
      <color theme="1"/>
      <name val="나눔바른고딕OTF Light"/>
      <family val="3"/>
      <charset val="129"/>
    </font>
    <font>
      <sz val="10.5"/>
      <color theme="1"/>
      <name val="나눔바른고딕OTF Light"/>
      <family val="3"/>
      <charset val="129"/>
    </font>
    <font>
      <sz val="9"/>
      <color rgb="FFC00000"/>
      <name val="나눔바른고딕 Light"/>
      <family val="3"/>
      <charset val="129"/>
    </font>
    <font>
      <b/>
      <sz val="9"/>
      <color theme="8" tint="-0.249977111117893"/>
      <name val="나눔바른고딕OTF"/>
      <family val="1"/>
      <charset val="129"/>
    </font>
    <font>
      <sz val="9"/>
      <color theme="8" tint="-0.249977111117893"/>
      <name val="나눔바른고딕 Light"/>
      <family val="3"/>
      <charset val="129"/>
    </font>
    <font>
      <sz val="10.5"/>
      <color theme="1"/>
      <name val="나눔바른고딕OTF"/>
      <family val="1"/>
      <charset val="129"/>
    </font>
    <font>
      <sz val="10"/>
      <color theme="1" tint="0.499984740745262"/>
      <name val="나눔바른고딕 Light"/>
      <family val="3"/>
      <charset val="129"/>
    </font>
    <font>
      <b/>
      <i/>
      <sz val="9"/>
      <color theme="1"/>
      <name val="나눔바른고딕OTF"/>
      <family val="1"/>
      <charset val="129"/>
    </font>
    <font>
      <i/>
      <sz val="10"/>
      <color theme="1"/>
      <name val="나눔바른고딕OTF"/>
      <family val="1"/>
      <charset val="129"/>
    </font>
    <font>
      <b/>
      <i/>
      <sz val="10"/>
      <color theme="1"/>
      <name val="나눔바른고딕OTF"/>
      <family val="1"/>
      <charset val="129"/>
    </font>
    <font>
      <sz val="14"/>
      <color theme="1"/>
      <name val="나눔바른고딕OTF"/>
      <family val="1"/>
      <charset val="129"/>
    </font>
    <font>
      <b/>
      <sz val="12"/>
      <color theme="1"/>
      <name val="나눔바른고딕OTF"/>
      <family val="1"/>
      <charset val="129"/>
    </font>
    <font>
      <b/>
      <sz val="12"/>
      <name val="나눔바른고딕OTF"/>
      <family val="1"/>
      <charset val="129"/>
    </font>
    <font>
      <i/>
      <sz val="8"/>
      <color theme="1"/>
      <name val="나눔바른고딕OTF"/>
      <family val="1"/>
      <charset val="129"/>
    </font>
    <font>
      <sz val="10.5"/>
      <color rgb="FFC00000"/>
      <name val="나눔바른고딕OTF"/>
      <family val="1"/>
      <charset val="129"/>
    </font>
    <font>
      <b/>
      <sz val="12"/>
      <color theme="8" tint="-0.249977111117893"/>
      <name val="나눔바른고딕OTF"/>
      <family val="1"/>
      <charset val="129"/>
    </font>
    <font>
      <b/>
      <i/>
      <u val="double"/>
      <sz val="10"/>
      <color theme="8" tint="-0.249977111117893"/>
      <name val="나눔바른고딕OTF"/>
      <family val="1"/>
      <charset val="129"/>
    </font>
    <font>
      <sz val="11"/>
      <color theme="8" tint="-0.499984740745262"/>
      <name val="나눔바른고딕OTF"/>
      <family val="1"/>
      <charset val="129"/>
    </font>
    <font>
      <b/>
      <sz val="11"/>
      <color theme="8" tint="-0.499984740745262"/>
      <name val="나눔바른고딕OTF"/>
      <family val="1"/>
      <charset val="129"/>
    </font>
    <font>
      <b/>
      <u val="double"/>
      <sz val="12"/>
      <color theme="8" tint="-0.249977111117893"/>
      <name val="나눔바른고딕OTF"/>
      <family val="1"/>
      <charset val="129"/>
    </font>
    <font>
      <b/>
      <sz val="10.5"/>
      <color theme="0"/>
      <name val="나눔바른고딕OTF"/>
      <family val="1"/>
      <charset val="129"/>
    </font>
    <font>
      <sz val="10.5"/>
      <color theme="0"/>
      <name val="나눔바른고딕OTF"/>
      <family val="1"/>
      <charset val="129"/>
    </font>
    <font>
      <sz val="10"/>
      <name val="맑은 고딕"/>
      <family val="3"/>
      <charset val="129"/>
    </font>
    <font>
      <b/>
      <sz val="9"/>
      <color theme="0"/>
      <name val="나눔바른고딕OTF"/>
      <family val="1"/>
      <charset val="129"/>
    </font>
    <font>
      <sz val="9"/>
      <color theme="1"/>
      <name val="나눔바른고딕OTF Light"/>
      <family val="3"/>
      <charset val="128"/>
    </font>
    <font>
      <sz val="10.5"/>
      <color theme="1"/>
      <name val="나눔바른고딕OTF Light"/>
      <family val="3"/>
      <charset val="128"/>
    </font>
    <font>
      <u/>
      <sz val="10"/>
      <color theme="1"/>
      <name val="나눔바른고딕OTF"/>
      <family val="2"/>
      <charset val="129"/>
    </font>
    <font>
      <sz val="11"/>
      <color theme="1"/>
      <name val="나눔바른고딕OTF Light"/>
      <family val="3"/>
      <charset val="128"/>
    </font>
    <font>
      <b/>
      <sz val="13"/>
      <color theme="1"/>
      <name val="나눔바른고딕OTF"/>
      <family val="1"/>
      <charset val="129"/>
    </font>
    <font>
      <sz val="10.5"/>
      <name val="나눔바른고딕OTF"/>
      <family val="1"/>
      <charset val="129"/>
    </font>
    <font>
      <sz val="10.5"/>
      <color rgb="FFFF0000"/>
      <name val="나눔바른고딕OTF Light"/>
      <family val="3"/>
      <charset val="128"/>
    </font>
    <font>
      <sz val="11"/>
      <color rgb="FFC00000"/>
      <name val="나눔바른고딕OTF"/>
      <family val="1"/>
      <charset val="129"/>
    </font>
    <font>
      <b/>
      <sz val="12"/>
      <color rgb="FFC00000"/>
      <name val="나눔바른고딕OTF"/>
      <family val="1"/>
      <charset val="129"/>
    </font>
    <font>
      <b/>
      <sz val="12"/>
      <color rgb="FFC00000"/>
      <name val="나눔바른고딕OTF Light"/>
      <family val="3"/>
      <charset val="128"/>
    </font>
    <font>
      <b/>
      <sz val="12"/>
      <color theme="1"/>
      <name val="나눔바른고딕OTF Light"/>
      <family val="3"/>
      <charset val="128"/>
    </font>
    <font>
      <sz val="12"/>
      <name val="나눔바른고딕OTF"/>
      <family val="1"/>
      <charset val="129"/>
    </font>
    <font>
      <sz val="10"/>
      <name val="나눔바른고딕OTF"/>
      <family val="1"/>
      <charset val="129"/>
    </font>
    <font>
      <b/>
      <sz val="10.5"/>
      <name val="나눔바른고딕OTF"/>
      <family val="1"/>
      <charset val="129"/>
    </font>
    <font>
      <sz val="12"/>
      <color rgb="FFC00000"/>
      <name val="나눔바른고딕OTF"/>
      <family val="1"/>
      <charset val="129"/>
    </font>
    <font>
      <i/>
      <sz val="9"/>
      <color theme="1"/>
      <name val="나눔바른고딕 Light"/>
      <family val="3"/>
      <charset val="129"/>
    </font>
    <font>
      <sz val="9"/>
      <color theme="0"/>
      <name val="나눔바른고딕OTF"/>
      <family val="2"/>
      <charset val="129"/>
    </font>
    <font>
      <sz val="20"/>
      <color theme="0"/>
      <name val="나눔바른고딕OTF"/>
      <family val="1"/>
      <charset val="129"/>
    </font>
    <font>
      <sz val="25"/>
      <color theme="0"/>
      <name val="나눔바른고딕OTF"/>
      <family val="2"/>
      <charset val="129"/>
    </font>
    <font>
      <sz val="35"/>
      <color theme="0"/>
      <name val="나눔바른고딕OTF"/>
      <family val="2"/>
      <charset val="129"/>
    </font>
    <font>
      <sz val="10"/>
      <color theme="0"/>
      <name val="나눔바른고딕OTF"/>
      <family val="2"/>
      <charset val="129"/>
    </font>
    <font>
      <sz val="15"/>
      <color theme="0"/>
      <name val="나눔바른고딕OTF"/>
      <family val="2"/>
      <charset val="129"/>
    </font>
    <font>
      <sz val="15"/>
      <color theme="0"/>
      <name val="나눔바른고딕OTF"/>
      <family val="1"/>
      <charset val="129"/>
    </font>
    <font>
      <sz val="14"/>
      <color theme="0"/>
      <name val="나눔바른고딕OTF"/>
      <family val="2"/>
      <charset val="129"/>
    </font>
    <font>
      <sz val="15"/>
      <color theme="0"/>
      <name val="나눔바른고딕OTF Light"/>
      <family val="3"/>
      <charset val="129"/>
    </font>
    <font>
      <sz val="16"/>
      <color theme="0"/>
      <name val="나눔바른고딕OTF"/>
      <family val="1"/>
      <charset val="129"/>
    </font>
    <font>
      <sz val="14"/>
      <color theme="0"/>
      <name val="나눔바른고딕OTF"/>
      <family val="1"/>
      <charset val="129"/>
    </font>
    <font>
      <u/>
      <sz val="9"/>
      <color theme="10"/>
      <name val="나눔바른고딕OTF"/>
      <family val="2"/>
      <charset val="129"/>
    </font>
    <font>
      <sz val="9"/>
      <color theme="0"/>
      <name val="나눔바른고딕OTF Light"/>
      <family val="3"/>
      <charset val="129"/>
    </font>
    <font>
      <b/>
      <sz val="11"/>
      <name val="나눔바른고딕OTF"/>
      <family val="1"/>
      <charset val="129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darkGray">
        <fgColor theme="3" tint="-0.49998474074526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mediumGray">
        <fgColor theme="8" tint="-0.499984740745262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8" tint="-0.499984740745262"/>
      </patternFill>
    </fill>
    <fill>
      <patternFill patternType="solid">
        <fgColor indexed="65"/>
        <bgColor theme="8" tint="-0.499984740745262"/>
      </patternFill>
    </fill>
    <fill>
      <patternFill patternType="darkDown">
        <fgColor theme="8" tint="-0.499984740745262"/>
        <bgColor theme="2" tint="-0.24994659260841701"/>
      </patternFill>
    </fill>
    <fill>
      <patternFill patternType="solid">
        <fgColor theme="8" tint="-0.249977111117893"/>
        <bgColor indexed="64"/>
      </patternFill>
    </fill>
  </fills>
  <borders count="15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theme="0"/>
      </left>
      <right/>
      <top style="thin">
        <color auto="1"/>
      </top>
      <bottom/>
      <diagonal/>
    </border>
    <border>
      <left/>
      <right style="hair">
        <color theme="0"/>
      </right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slantDashDot">
        <color theme="5" tint="-0.24994659260841701"/>
      </left>
      <right style="hair">
        <color auto="1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hair">
        <color auto="1"/>
      </left>
      <right style="hair">
        <color auto="1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hair">
        <color auto="1"/>
      </left>
      <right style="slantDashDot">
        <color theme="5" tint="-0.24994659260841701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slantDashDot">
        <color theme="5" tint="-0.24994659260841701"/>
      </left>
      <right/>
      <top style="slantDashDot">
        <color theme="5" tint="-0.24994659260841701"/>
      </top>
      <bottom style="slantDashDot">
        <color theme="5" tint="-0.2499465926084170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slantDashDot">
        <color theme="8" tint="-0.499984740745262"/>
      </left>
      <right style="slantDashDot">
        <color theme="8" tint="-0.499984740745262"/>
      </right>
      <top style="slantDashDot">
        <color theme="8" tint="-0.499984740745262"/>
      </top>
      <bottom/>
      <diagonal/>
    </border>
    <border>
      <left style="slantDashDot">
        <color theme="8" tint="-0.499984740745262"/>
      </left>
      <right style="slantDashDot">
        <color theme="8" tint="-0.499984740745262"/>
      </right>
      <top/>
      <bottom/>
      <diagonal/>
    </border>
    <border>
      <left style="slantDashDot">
        <color theme="8" tint="-0.499984740745262"/>
      </left>
      <right style="slantDashDot">
        <color theme="8" tint="-0.499984740745262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slantDashDot">
        <color theme="8" tint="-0.499984740745262"/>
      </left>
      <right style="slantDashDot">
        <color theme="8" tint="-0.499984740745262"/>
      </right>
      <top style="hair">
        <color auto="1"/>
      </top>
      <bottom/>
      <diagonal/>
    </border>
    <border>
      <left style="slantDashDot">
        <color theme="8" tint="-0.499984740745262"/>
      </left>
      <right style="slantDashDot">
        <color theme="8" tint="-0.499984740745262"/>
      </right>
      <top/>
      <bottom style="hair">
        <color auto="1"/>
      </bottom>
      <diagonal/>
    </border>
    <border>
      <left style="slantDashDot">
        <color theme="8" tint="-0.499984740745262"/>
      </left>
      <right style="slantDashDot">
        <color theme="8" tint="-0.499984740745262"/>
      </right>
      <top/>
      <bottom style="slantDashDot">
        <color theme="8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slantDashDot">
        <color theme="0" tint="-0.34998626667073579"/>
      </left>
      <right/>
      <top style="slantDashDot">
        <color theme="0" tint="-0.34998626667073579"/>
      </top>
      <bottom style="slantDashDot">
        <color theme="0" tint="-0.34998626667073579"/>
      </bottom>
      <diagonal/>
    </border>
    <border>
      <left style="slantDashDot">
        <color theme="8" tint="-0.499984740745262"/>
      </left>
      <right style="slantDashDot">
        <color theme="8" tint="-0.499984740745262"/>
      </right>
      <top style="slantDashDot">
        <color theme="0" tint="-0.34998626667073579"/>
      </top>
      <bottom style="slantDashDot">
        <color theme="0" tint="-0.34998626667073579"/>
      </bottom>
      <diagonal/>
    </border>
    <border>
      <left/>
      <right style="hair">
        <color auto="1"/>
      </right>
      <top style="slantDashDot">
        <color theme="0" tint="-0.34998626667073579"/>
      </top>
      <bottom style="slantDashDot">
        <color theme="0" tint="-0.34998626667073579"/>
      </bottom>
      <diagonal/>
    </border>
    <border>
      <left style="hair">
        <color auto="1"/>
      </left>
      <right style="hair">
        <color auto="1"/>
      </right>
      <top style="slantDashDot">
        <color theme="0" tint="-0.34998626667073579"/>
      </top>
      <bottom style="slantDashDot">
        <color theme="0" tint="-0.34998626667073579"/>
      </bottom>
      <diagonal/>
    </border>
    <border>
      <left style="hair">
        <color auto="1"/>
      </left>
      <right style="slantDashDot">
        <color theme="0" tint="-0.34998626667073579"/>
      </right>
      <top style="slantDashDot">
        <color theme="0" tint="-0.34998626667073579"/>
      </top>
      <bottom style="slantDashDot">
        <color theme="0" tint="-0.34998626667073579"/>
      </bottom>
      <diagonal/>
    </border>
    <border>
      <left style="hair">
        <color theme="0"/>
      </left>
      <right/>
      <top style="thin">
        <color auto="1"/>
      </top>
      <bottom style="thin">
        <color auto="1"/>
      </bottom>
      <diagonal/>
    </border>
    <border>
      <left/>
      <right style="hair">
        <color theme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auto="1"/>
      </right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auto="1"/>
      </right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mediumDashDotDot">
        <color theme="3" tint="-0.24994659260841701"/>
      </left>
      <right style="mediumDashDotDot">
        <color theme="3" tint="-0.24994659260841701"/>
      </right>
      <top style="mediumDashDotDot">
        <color theme="3" tint="-0.24994659260841701"/>
      </top>
      <bottom/>
      <diagonal/>
    </border>
    <border>
      <left style="mediumDashDotDot">
        <color theme="3" tint="-0.24994659260841701"/>
      </left>
      <right style="mediumDashDotDot">
        <color theme="3" tint="-0.24994659260841701"/>
      </right>
      <top/>
      <bottom style="hair">
        <color auto="1"/>
      </bottom>
      <diagonal/>
    </border>
    <border>
      <left style="mediumDashDotDot">
        <color theme="3" tint="-0.24994659260841701"/>
      </left>
      <right style="mediumDashDotDot">
        <color theme="3" tint="-0.24994659260841701"/>
      </right>
      <top/>
      <bottom/>
      <diagonal/>
    </border>
    <border>
      <left style="mediumDashDotDot">
        <color theme="3" tint="-0.24994659260841701"/>
      </left>
      <right style="mediumDashDotDot">
        <color theme="3" tint="-0.24994659260841701"/>
      </right>
      <top/>
      <bottom style="hair">
        <color theme="0" tint="-0.24994659260841701"/>
      </bottom>
      <diagonal/>
    </border>
    <border>
      <left style="mediumDashDotDot">
        <color theme="3" tint="-0.24994659260841701"/>
      </left>
      <right style="mediumDashDotDot">
        <color theme="3" tint="-0.24994659260841701"/>
      </right>
      <top style="hair">
        <color theme="0" tint="-0.24994659260841701"/>
      </top>
      <bottom/>
      <diagonal/>
    </border>
    <border>
      <left style="mediumDashDotDot">
        <color theme="3" tint="-0.24994659260841701"/>
      </left>
      <right style="mediumDashDotDot">
        <color theme="3" tint="-0.24994659260841701"/>
      </right>
      <top/>
      <bottom style="mediumDashDotDot">
        <color theme="3" tint="-0.24994659260841701"/>
      </bottom>
      <diagonal/>
    </border>
    <border>
      <left style="slantDashDot">
        <color theme="8" tint="-0.24994659260841701"/>
      </left>
      <right style="hair">
        <color auto="1"/>
      </right>
      <top style="slantDashDot">
        <color theme="8" tint="-0.24994659260841701"/>
      </top>
      <bottom style="thin">
        <color auto="1"/>
      </bottom>
      <diagonal/>
    </border>
    <border>
      <left style="hair">
        <color auto="1"/>
      </left>
      <right style="slantDashDot">
        <color theme="8" tint="-0.24994659260841701"/>
      </right>
      <top style="slantDashDot">
        <color theme="8" tint="-0.24994659260841701"/>
      </top>
      <bottom style="thin">
        <color auto="1"/>
      </bottom>
      <diagonal/>
    </border>
    <border>
      <left style="slantDashDot">
        <color theme="8" tint="-0.2499465926084170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slantDashDot">
        <color theme="8" tint="-0.24994659260841701"/>
      </right>
      <top style="thin">
        <color auto="1"/>
      </top>
      <bottom/>
      <diagonal/>
    </border>
    <border>
      <left style="slantDashDot">
        <color theme="8" tint="-0.24994659260841701"/>
      </left>
      <right style="hair">
        <color auto="1"/>
      </right>
      <top/>
      <bottom/>
      <diagonal/>
    </border>
    <border>
      <left style="hair">
        <color auto="1"/>
      </left>
      <right style="slantDashDot">
        <color theme="8" tint="-0.24994659260841701"/>
      </right>
      <top/>
      <bottom/>
      <diagonal/>
    </border>
    <border>
      <left style="slantDashDot">
        <color theme="8" tint="-0.24994659260841701"/>
      </left>
      <right style="hair">
        <color auto="1"/>
      </right>
      <top/>
      <bottom style="slantDashDot">
        <color theme="8" tint="-0.24994659260841701"/>
      </bottom>
      <diagonal/>
    </border>
    <border>
      <left style="hair">
        <color auto="1"/>
      </left>
      <right style="slantDashDot">
        <color theme="8" tint="-0.24994659260841701"/>
      </right>
      <top/>
      <bottom style="slantDashDot">
        <color theme="8" tint="-0.24994659260841701"/>
      </bottom>
      <diagonal/>
    </border>
    <border>
      <left style="slantDashDot">
        <color theme="8" tint="-0.24994659260841701"/>
      </left>
      <right style="slantDashDot">
        <color theme="8" tint="-0.24994659260841701"/>
      </right>
      <top style="slantDashDot">
        <color theme="8" tint="-0.24994659260841701"/>
      </top>
      <bottom style="thin">
        <color auto="1"/>
      </bottom>
      <diagonal/>
    </border>
    <border>
      <left style="slantDashDot">
        <color theme="8" tint="-0.24994659260841701"/>
      </left>
      <right style="slantDashDot">
        <color theme="8" tint="-0.24994659260841701"/>
      </right>
      <top style="thin">
        <color auto="1"/>
      </top>
      <bottom/>
      <diagonal/>
    </border>
    <border>
      <left style="slantDashDot">
        <color theme="8" tint="-0.24994659260841701"/>
      </left>
      <right style="slantDashDot">
        <color theme="8" tint="-0.24994659260841701"/>
      </right>
      <top/>
      <bottom/>
      <diagonal/>
    </border>
    <border>
      <left style="slantDashDot">
        <color theme="8" tint="-0.24994659260841701"/>
      </left>
      <right style="slantDashDot">
        <color theme="8" tint="-0.24994659260841701"/>
      </right>
      <top/>
      <bottom style="slantDashDot">
        <color theme="8" tint="-0.24994659260841701"/>
      </bottom>
      <diagonal/>
    </border>
    <border>
      <left style="slantDashDot">
        <color theme="8" tint="-0.24994659260841701"/>
      </left>
      <right/>
      <top style="slantDashDot">
        <color theme="8" tint="-0.24994659260841701"/>
      </top>
      <bottom/>
      <diagonal/>
    </border>
    <border>
      <left style="slantDashDot">
        <color theme="8" tint="-0.499984740745262"/>
      </left>
      <right style="slantDashDot">
        <color theme="8" tint="-0.499984740745262"/>
      </right>
      <top style="slantDashDot">
        <color theme="8" tint="-0.24994659260841701"/>
      </top>
      <bottom/>
      <diagonal/>
    </border>
    <border>
      <left/>
      <right style="hair">
        <color auto="1"/>
      </right>
      <top style="slantDashDot">
        <color theme="8" tint="-0.24994659260841701"/>
      </top>
      <bottom/>
      <diagonal/>
    </border>
    <border>
      <left style="hair">
        <color auto="1"/>
      </left>
      <right style="hair">
        <color auto="1"/>
      </right>
      <top style="slantDashDot">
        <color theme="8" tint="-0.24994659260841701"/>
      </top>
      <bottom/>
      <diagonal/>
    </border>
    <border>
      <left style="slantDashDot">
        <color theme="8" tint="-0.24994659260841701"/>
      </left>
      <right/>
      <top/>
      <bottom/>
      <diagonal/>
    </border>
    <border>
      <left style="slantDashDot">
        <color theme="8" tint="-0.24994659260841701"/>
      </left>
      <right/>
      <top/>
      <bottom style="slantDashDot">
        <color theme="8" tint="-0.24994659260841701"/>
      </bottom>
      <diagonal/>
    </border>
    <border>
      <left style="slantDashDot">
        <color theme="8" tint="-0.499984740745262"/>
      </left>
      <right style="slantDashDot">
        <color theme="8" tint="-0.499984740745262"/>
      </right>
      <top/>
      <bottom style="slantDashDot">
        <color theme="8" tint="-0.24994659260841701"/>
      </bottom>
      <diagonal/>
    </border>
    <border>
      <left/>
      <right style="hair">
        <color auto="1"/>
      </right>
      <top/>
      <bottom style="slantDashDot">
        <color theme="8" tint="-0.24994659260841701"/>
      </bottom>
      <diagonal/>
    </border>
    <border>
      <left style="hair">
        <color auto="1"/>
      </left>
      <right style="hair">
        <color auto="1"/>
      </right>
      <top/>
      <bottom style="slantDashDot">
        <color theme="8" tint="-0.24994659260841701"/>
      </bottom>
      <diagonal/>
    </border>
    <border>
      <left style="mediumDashDot">
        <color theme="8" tint="-0.499984740745262"/>
      </left>
      <right/>
      <top style="thin">
        <color auto="1"/>
      </top>
      <bottom style="mediumDashDot">
        <color theme="8" tint="-0.499984740745262"/>
      </bottom>
      <diagonal/>
    </border>
    <border>
      <left style="slantDashDot">
        <color theme="8" tint="-0.499984740745262"/>
      </left>
      <right/>
      <top style="slantDashDot">
        <color theme="8" tint="-0.499984740745262"/>
      </top>
      <bottom style="hair">
        <color auto="1"/>
      </bottom>
      <diagonal/>
    </border>
    <border>
      <left/>
      <right style="slantDashDot">
        <color theme="8" tint="-0.499984740745262"/>
      </right>
      <top style="slantDashDot">
        <color theme="8" tint="-0.499984740745262"/>
      </top>
      <bottom style="hair">
        <color auto="1"/>
      </bottom>
      <diagonal/>
    </border>
    <border>
      <left style="slantDashDot">
        <color theme="8" tint="-0.499984740745262"/>
      </left>
      <right/>
      <top style="hair">
        <color auto="1"/>
      </top>
      <bottom/>
      <diagonal/>
    </border>
    <border>
      <left/>
      <right style="slantDashDot">
        <color theme="8" tint="-0.499984740745262"/>
      </right>
      <top style="hair">
        <color auto="1"/>
      </top>
      <bottom/>
      <diagonal/>
    </border>
    <border>
      <left style="slantDashDot">
        <color theme="8" tint="-0.499984740745262"/>
      </left>
      <right/>
      <top/>
      <bottom/>
      <diagonal/>
    </border>
    <border>
      <left/>
      <right style="slantDashDot">
        <color theme="8" tint="-0.499984740745262"/>
      </right>
      <top/>
      <bottom/>
      <diagonal/>
    </border>
    <border>
      <left style="slantDashDot">
        <color theme="8" tint="-0.499984740745262"/>
      </left>
      <right/>
      <top/>
      <bottom style="hair">
        <color auto="1"/>
      </bottom>
      <diagonal/>
    </border>
    <border>
      <left/>
      <right style="slantDashDot">
        <color theme="8" tint="-0.499984740745262"/>
      </right>
      <top/>
      <bottom style="hair">
        <color auto="1"/>
      </bottom>
      <diagonal/>
    </border>
    <border>
      <left style="slantDashDot">
        <color theme="8" tint="-0.499984740745262"/>
      </left>
      <right/>
      <top style="hair">
        <color auto="1"/>
      </top>
      <bottom style="hair">
        <color auto="1"/>
      </bottom>
      <diagonal/>
    </border>
    <border>
      <left/>
      <right style="slantDashDot">
        <color theme="8" tint="-0.499984740745262"/>
      </right>
      <top style="hair">
        <color auto="1"/>
      </top>
      <bottom style="hair">
        <color auto="1"/>
      </bottom>
      <diagonal/>
    </border>
    <border>
      <left style="slantDashDot">
        <color theme="8" tint="-0.499984740745262"/>
      </left>
      <right/>
      <top style="hair">
        <color auto="1"/>
      </top>
      <bottom style="slantDashDot">
        <color theme="8" tint="-0.499984740745262"/>
      </bottom>
      <diagonal/>
    </border>
    <border>
      <left/>
      <right style="slantDashDot">
        <color theme="8" tint="-0.499984740745262"/>
      </right>
      <top style="hair">
        <color auto="1"/>
      </top>
      <bottom style="slantDashDot">
        <color theme="8" tint="-0.499984740745262"/>
      </bottom>
      <diagonal/>
    </border>
    <border>
      <left style="slantDashDot">
        <color theme="8" tint="-0.499984740745262"/>
      </left>
      <right style="hair">
        <color theme="8" tint="-0.499984740745262"/>
      </right>
      <top style="hair">
        <color auto="1"/>
      </top>
      <bottom style="hair">
        <color auto="1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auto="1"/>
      </top>
      <bottom style="hair">
        <color auto="1"/>
      </bottom>
      <diagonal/>
    </border>
    <border>
      <left style="hair">
        <color theme="8" tint="-0.499984740745262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slantDashDot">
        <color theme="8" tint="-0.499984740745262"/>
      </left>
      <right style="hair">
        <color theme="8" tint="-0.499984740745262"/>
      </right>
      <top/>
      <bottom style="hair">
        <color auto="1"/>
      </bottom>
      <diagonal/>
    </border>
    <border>
      <left style="hair">
        <color theme="8" tint="-0.499984740745262"/>
      </left>
      <right style="hair">
        <color theme="8" tint="-0.499984740745262"/>
      </right>
      <top/>
      <bottom style="hair">
        <color auto="1"/>
      </bottom>
      <diagonal/>
    </border>
    <border>
      <left style="hair">
        <color theme="8" tint="-0.499984740745262"/>
      </left>
      <right style="hair">
        <color auto="1"/>
      </right>
      <top/>
      <bottom style="hair">
        <color auto="1"/>
      </bottom>
      <diagonal/>
    </border>
    <border>
      <left/>
      <right style="hair">
        <color theme="8" tint="-0.499984740745262"/>
      </right>
      <top style="hair">
        <color auto="1"/>
      </top>
      <bottom/>
      <diagonal/>
    </border>
    <border>
      <left/>
      <right style="hair">
        <color theme="8" tint="-0.499984740745262"/>
      </right>
      <top/>
      <bottom style="hair">
        <color auto="1"/>
      </bottom>
      <diagonal/>
    </border>
    <border>
      <left style="mediumDashDot">
        <color theme="8" tint="-0.499984740745262"/>
      </left>
      <right/>
      <top style="mediumDashDot">
        <color theme="8" tint="-0.499984740745262"/>
      </top>
      <bottom/>
      <diagonal/>
    </border>
    <border>
      <left style="mediumDashDot">
        <color theme="8" tint="-0.499984740745262"/>
      </left>
      <right/>
      <top/>
      <bottom style="thin">
        <color auto="1"/>
      </bottom>
      <diagonal/>
    </border>
    <border>
      <left/>
      <right style="mediumDashDot">
        <color theme="8" tint="-0.499984740745262"/>
      </right>
      <top style="mediumDashDot">
        <color theme="8" tint="-0.499984740745262"/>
      </top>
      <bottom/>
      <diagonal/>
    </border>
    <border>
      <left/>
      <right style="mediumDashDot">
        <color theme="8" tint="-0.499984740745262"/>
      </right>
      <top/>
      <bottom style="thin">
        <color auto="1"/>
      </bottom>
      <diagonal/>
    </border>
    <border>
      <left/>
      <right style="mediumDashDot">
        <color theme="8" tint="-0.499984740745262"/>
      </right>
      <top style="thin">
        <color auto="1"/>
      </top>
      <bottom style="mediumDashDot">
        <color theme="8" tint="-0.499984740745262"/>
      </bottom>
      <diagonal/>
    </border>
    <border>
      <left/>
      <right/>
      <top style="mediumDashDot">
        <color theme="8" tint="-0.499984740745262"/>
      </top>
      <bottom/>
      <diagonal/>
    </border>
    <border>
      <left/>
      <right/>
      <top style="thin">
        <color auto="1"/>
      </top>
      <bottom style="mediumDashDot">
        <color theme="8" tint="-0.499984740745262"/>
      </bottom>
      <diagonal/>
    </border>
    <border>
      <left style="slantDashDot">
        <color theme="8" tint="-0.499984740745262"/>
      </left>
      <right/>
      <top style="hair">
        <color auto="1"/>
      </top>
      <bottom style="hair">
        <color theme="8" tint="-0.499984740745262"/>
      </bottom>
      <diagonal/>
    </border>
    <border>
      <left/>
      <right style="slantDashDot">
        <color theme="8" tint="-0.499984740745262"/>
      </right>
      <top style="hair">
        <color auto="1"/>
      </top>
      <bottom style="hair">
        <color theme="8" tint="-0.499984740745262"/>
      </bottom>
      <diagonal/>
    </border>
    <border>
      <left/>
      <right style="hair">
        <color theme="8" tint="-0.499984740745262"/>
      </right>
      <top style="hair">
        <color auto="1"/>
      </top>
      <bottom style="hair">
        <color auto="1"/>
      </bottom>
      <diagonal/>
    </border>
    <border>
      <left style="hair">
        <color theme="8" tint="-0.499984740745262"/>
      </left>
      <right/>
      <top style="hair">
        <color auto="1"/>
      </top>
      <bottom style="hair">
        <color auto="1"/>
      </bottom>
      <diagonal/>
    </border>
    <border>
      <left/>
      <right style="hair">
        <color theme="8" tint="-0.499984740745262"/>
      </right>
      <top style="hair">
        <color auto="1"/>
      </top>
      <bottom style="hair">
        <color theme="8" tint="-0.499984740745262"/>
      </bottom>
      <diagonal/>
    </border>
    <border>
      <left style="hair">
        <color theme="8" tint="-0.499984740745262"/>
      </left>
      <right/>
      <top style="hair">
        <color auto="1"/>
      </top>
      <bottom style="hair">
        <color theme="8" tint="-0.499984740745262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 style="hair">
        <color theme="3" tint="0.59996337778862885"/>
      </left>
      <right style="hair">
        <color theme="3" tint="0.59996337778862885"/>
      </right>
      <top/>
      <bottom style="dotted">
        <color theme="0"/>
      </bottom>
      <diagonal/>
    </border>
    <border>
      <left style="hair">
        <color theme="3" tint="0.59996337778862885"/>
      </left>
      <right style="hair">
        <color theme="3" tint="0.59996337778862885"/>
      </right>
      <top style="dotted">
        <color theme="0"/>
      </top>
      <bottom style="dotted">
        <color theme="0"/>
      </bottom>
      <diagonal/>
    </border>
    <border>
      <left style="hair">
        <color theme="3" tint="0.59996337778862885"/>
      </left>
      <right style="hair">
        <color theme="3" tint="0.59996337778862885"/>
      </right>
      <top style="dotted">
        <color theme="0"/>
      </top>
      <bottom/>
      <diagonal/>
    </border>
    <border>
      <left style="hair">
        <color auto="1"/>
      </left>
      <right/>
      <top style="slantDashDot">
        <color theme="8" tint="-0.24994659260841701"/>
      </top>
      <bottom/>
      <diagonal/>
    </border>
    <border>
      <left style="hair">
        <color auto="1"/>
      </left>
      <right/>
      <top/>
      <bottom style="slantDashDot">
        <color theme="8" tint="-0.24994659260841701"/>
      </bottom>
      <diagonal/>
    </border>
  </borders>
  <cellStyleXfs count="2">
    <xf numFmtId="0" fontId="0" fillId="0" borderId="0">
      <alignment vertical="center"/>
    </xf>
    <xf numFmtId="0" fontId="101" fillId="0" borderId="0" applyNumberFormat="0" applyFill="0" applyBorder="0" applyAlignment="0" applyProtection="0">
      <alignment vertical="center"/>
    </xf>
  </cellStyleXfs>
  <cellXfs count="10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3" fontId="1" fillId="0" borderId="0" xfId="0" applyNumberFormat="1" applyFo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>
      <alignment vertical="center"/>
    </xf>
    <xf numFmtId="176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>
      <alignment vertical="center"/>
    </xf>
    <xf numFmtId="177" fontId="1" fillId="0" borderId="0" xfId="0" applyNumberFormat="1" applyFont="1" applyAlignment="1">
      <alignment horizontal="center" vertical="center"/>
    </xf>
    <xf numFmtId="3" fontId="1" fillId="3" borderId="0" xfId="0" applyNumberFormat="1" applyFont="1" applyFill="1">
      <alignment vertical="center"/>
    </xf>
    <xf numFmtId="3" fontId="1" fillId="3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vertical="center" wrapText="1"/>
    </xf>
    <xf numFmtId="176" fontId="5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176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  <xf numFmtId="3" fontId="8" fillId="0" borderId="1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4" fontId="8" fillId="5" borderId="0" xfId="0" applyNumberFormat="1" applyFont="1" applyFill="1">
      <alignment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>
      <alignment vertical="center"/>
    </xf>
    <xf numFmtId="180" fontId="8" fillId="2" borderId="1" xfId="0" applyNumberFormat="1" applyFont="1" applyFill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180" fontId="8" fillId="2" borderId="10" xfId="0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Continuous" vertical="center"/>
    </xf>
    <xf numFmtId="0" fontId="9" fillId="6" borderId="0" xfId="0" applyFont="1" applyFill="1" applyBorder="1" applyAlignment="1">
      <alignment horizontal="centerContinuous" vertical="center"/>
    </xf>
    <xf numFmtId="0" fontId="10" fillId="0" borderId="0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right"/>
    </xf>
    <xf numFmtId="0" fontId="8" fillId="2" borderId="1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" fontId="15" fillId="0" borderId="1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" fontId="8" fillId="3" borderId="16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3" fontId="8" fillId="0" borderId="19" xfId="0" applyNumberFormat="1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3" fontId="8" fillId="0" borderId="21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3" fontId="8" fillId="2" borderId="21" xfId="0" applyNumberFormat="1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3" fontId="8" fillId="2" borderId="16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184" fontId="8" fillId="0" borderId="7" xfId="0" applyNumberFormat="1" applyFont="1" applyBorder="1" applyAlignment="1">
      <alignment horizontal="center" vertical="center"/>
    </xf>
    <xf numFmtId="184" fontId="8" fillId="0" borderId="8" xfId="0" applyNumberFormat="1" applyFont="1" applyBorder="1" applyAlignment="1">
      <alignment horizontal="center" vertical="center"/>
    </xf>
    <xf numFmtId="0" fontId="8" fillId="3" borderId="17" xfId="0" applyFont="1" applyFill="1" applyBorder="1">
      <alignment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181" fontId="13" fillId="0" borderId="7" xfId="0" applyNumberFormat="1" applyFont="1" applyBorder="1" applyAlignment="1">
      <alignment horizontal="center" vertical="center" shrinkToFit="1"/>
    </xf>
    <xf numFmtId="181" fontId="13" fillId="0" borderId="14" xfId="0" applyNumberFormat="1" applyFont="1" applyBorder="1" applyAlignment="1">
      <alignment horizontal="center" vertical="center" shrinkToFit="1"/>
    </xf>
    <xf numFmtId="3" fontId="8" fillId="0" borderId="16" xfId="0" applyNumberFormat="1" applyFont="1" applyBorder="1" applyAlignment="1">
      <alignment horizontal="center" vertical="center"/>
    </xf>
    <xf numFmtId="181" fontId="13" fillId="0" borderId="5" xfId="0" applyNumberFormat="1" applyFont="1" applyBorder="1" applyAlignment="1">
      <alignment horizontal="center" vertical="center" shrinkToFit="1"/>
    </xf>
    <xf numFmtId="181" fontId="13" fillId="0" borderId="19" xfId="0" applyNumberFormat="1" applyFont="1" applyBorder="1" applyAlignment="1">
      <alignment horizontal="center" vertical="center" shrinkToFit="1"/>
    </xf>
    <xf numFmtId="182" fontId="8" fillId="0" borderId="5" xfId="0" applyNumberFormat="1" applyFont="1" applyBorder="1" applyAlignment="1">
      <alignment horizontal="center" vertical="center"/>
    </xf>
    <xf numFmtId="182" fontId="8" fillId="0" borderId="19" xfId="0" applyNumberFormat="1" applyFont="1" applyBorder="1" applyAlignment="1">
      <alignment horizontal="center" vertical="center"/>
    </xf>
    <xf numFmtId="3" fontId="1" fillId="9" borderId="0" xfId="0" applyNumberFormat="1" applyFont="1" applyFill="1" applyAlignment="1">
      <alignment horizontal="center" vertical="center"/>
    </xf>
    <xf numFmtId="3" fontId="8" fillId="0" borderId="7" xfId="0" applyNumberFormat="1" applyFont="1" applyBorder="1" applyAlignment="1">
      <alignment horizontal="right" vertical="center" indent="2"/>
    </xf>
    <xf numFmtId="185" fontId="8" fillId="0" borderId="7" xfId="0" applyNumberFormat="1" applyFont="1" applyBorder="1" applyAlignment="1">
      <alignment horizontal="right" vertical="center" indent="2"/>
    </xf>
    <xf numFmtId="3" fontId="8" fillId="0" borderId="5" xfId="0" applyNumberFormat="1" applyFont="1" applyBorder="1" applyAlignment="1">
      <alignment horizontal="right" vertical="center" indent="2"/>
    </xf>
    <xf numFmtId="185" fontId="8" fillId="0" borderId="5" xfId="0" applyNumberFormat="1" applyFont="1" applyBorder="1" applyAlignment="1">
      <alignment horizontal="right" vertical="center" indent="2"/>
    </xf>
    <xf numFmtId="3" fontId="8" fillId="0" borderId="10" xfId="0" applyNumberFormat="1" applyFont="1" applyBorder="1" applyAlignment="1">
      <alignment horizontal="right" vertical="center" indent="2"/>
    </xf>
    <xf numFmtId="185" fontId="8" fillId="0" borderId="10" xfId="0" applyNumberFormat="1" applyFont="1" applyBorder="1" applyAlignment="1">
      <alignment horizontal="right" vertical="center" indent="2"/>
    </xf>
    <xf numFmtId="0" fontId="8" fillId="0" borderId="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3" fontId="18" fillId="2" borderId="10" xfId="0" applyNumberFormat="1" applyFont="1" applyFill="1" applyBorder="1" applyAlignment="1">
      <alignment horizontal="right" vertical="center" indent="2"/>
    </xf>
    <xf numFmtId="176" fontId="14" fillId="8" borderId="27" xfId="0" applyNumberFormat="1" applyFont="1" applyFill="1" applyBorder="1" applyAlignment="1">
      <alignment horizontal="centerContinuous" vertical="center" wrapText="1"/>
    </xf>
    <xf numFmtId="176" fontId="14" fillId="8" borderId="28" xfId="0" applyNumberFormat="1" applyFont="1" applyFill="1" applyBorder="1" applyAlignment="1">
      <alignment horizontal="centerContinuous" vertical="center" wrapText="1"/>
    </xf>
    <xf numFmtId="183" fontId="14" fillId="8" borderId="27" xfId="0" applyNumberFormat="1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 wrapText="1"/>
    </xf>
    <xf numFmtId="3" fontId="12" fillId="3" borderId="29" xfId="0" applyNumberFormat="1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 wrapText="1"/>
    </xf>
    <xf numFmtId="9" fontId="16" fillId="3" borderId="29" xfId="0" applyNumberFormat="1" applyFont="1" applyFill="1" applyBorder="1" applyAlignment="1">
      <alignment horizontal="centerContinuous" vertical="center"/>
    </xf>
    <xf numFmtId="0" fontId="16" fillId="3" borderId="27" xfId="0" applyFont="1" applyFill="1" applyBorder="1" applyAlignment="1">
      <alignment horizontal="center" vertical="center" wrapText="1"/>
    </xf>
    <xf numFmtId="9" fontId="16" fillId="3" borderId="27" xfId="0" applyNumberFormat="1" applyFont="1" applyFill="1" applyBorder="1" applyAlignment="1">
      <alignment horizontal="centerContinuous" vertical="center"/>
    </xf>
    <xf numFmtId="0" fontId="8" fillId="2" borderId="15" xfId="0" applyFont="1" applyFill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9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9" fontId="10" fillId="2" borderId="16" xfId="0" applyNumberFormat="1" applyFont="1" applyFill="1" applyBorder="1" applyAlignment="1">
      <alignment horizontal="center" vertical="center" wrapText="1"/>
    </xf>
    <xf numFmtId="3" fontId="19" fillId="0" borderId="7" xfId="0" applyNumberFormat="1" applyFont="1" applyBorder="1" applyAlignment="1">
      <alignment horizontal="right" vertical="center" indent="2"/>
    </xf>
    <xf numFmtId="185" fontId="19" fillId="0" borderId="7" xfId="0" applyNumberFormat="1" applyFont="1" applyBorder="1" applyAlignment="1">
      <alignment horizontal="right" vertical="center" indent="2"/>
    </xf>
    <xf numFmtId="3" fontId="19" fillId="0" borderId="5" xfId="0" applyNumberFormat="1" applyFont="1" applyBorder="1" applyAlignment="1">
      <alignment horizontal="right" vertical="center" indent="2"/>
    </xf>
    <xf numFmtId="185" fontId="19" fillId="0" borderId="5" xfId="0" applyNumberFormat="1" applyFont="1" applyBorder="1" applyAlignment="1">
      <alignment horizontal="right" vertical="center" indent="2"/>
    </xf>
    <xf numFmtId="3" fontId="19" fillId="0" borderId="10" xfId="0" applyNumberFormat="1" applyFont="1" applyBorder="1" applyAlignment="1">
      <alignment horizontal="right" vertical="center" indent="2"/>
    </xf>
    <xf numFmtId="185" fontId="19" fillId="0" borderId="10" xfId="0" applyNumberFormat="1" applyFont="1" applyBorder="1" applyAlignment="1">
      <alignment horizontal="right" vertical="center" indent="2"/>
    </xf>
    <xf numFmtId="176" fontId="8" fillId="2" borderId="14" xfId="0" applyNumberFormat="1" applyFont="1" applyFill="1" applyBorder="1" applyAlignment="1">
      <alignment horizontal="center" vertical="center"/>
    </xf>
    <xf numFmtId="3" fontId="8" fillId="0" borderId="19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2" borderId="19" xfId="0" applyNumberFormat="1" applyFont="1" applyFill="1" applyBorder="1" applyAlignment="1">
      <alignment horizontal="center" vertical="center"/>
    </xf>
    <xf numFmtId="184" fontId="8" fillId="2" borderId="5" xfId="0" applyNumberFormat="1" applyFont="1" applyFill="1" applyBorder="1" applyAlignment="1">
      <alignment horizontal="center" vertical="center"/>
    </xf>
    <xf numFmtId="184" fontId="8" fillId="2" borderId="19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right" vertical="center"/>
    </xf>
    <xf numFmtId="187" fontId="8" fillId="0" borderId="8" xfId="0" applyNumberFormat="1" applyFont="1" applyBorder="1" applyAlignment="1">
      <alignment horizontal="center" vertical="center"/>
    </xf>
    <xf numFmtId="0" fontId="1" fillId="10" borderId="0" xfId="0" applyFont="1" applyFill="1">
      <alignment vertical="center"/>
    </xf>
    <xf numFmtId="0" fontId="1" fillId="10" borderId="0" xfId="0" applyFont="1" applyFill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quotePrefix="1" applyFont="1" applyAlignment="1">
      <alignment horizontal="center" vertical="center"/>
    </xf>
    <xf numFmtId="188" fontId="1" fillId="0" borderId="0" xfId="0" applyNumberFormat="1" applyFont="1" applyAlignment="1">
      <alignment horizontal="center" vertical="center"/>
    </xf>
    <xf numFmtId="3" fontId="1" fillId="0" borderId="0" xfId="0" quotePrefix="1" applyNumberFormat="1" applyFont="1">
      <alignment vertical="center"/>
    </xf>
    <xf numFmtId="189" fontId="8" fillId="0" borderId="8" xfId="0" applyNumberFormat="1" applyFont="1" applyFill="1" applyBorder="1" applyAlignment="1">
      <alignment horizontal="center" vertical="center"/>
    </xf>
    <xf numFmtId="189" fontId="8" fillId="0" borderId="6" xfId="0" applyNumberFormat="1" applyFont="1" applyBorder="1" applyAlignment="1">
      <alignment horizontal="center" vertical="center"/>
    </xf>
    <xf numFmtId="183" fontId="8" fillId="0" borderId="8" xfId="0" applyNumberFormat="1" applyFont="1" applyBorder="1" applyAlignment="1">
      <alignment horizontal="center" vertical="center"/>
    </xf>
    <xf numFmtId="183" fontId="4" fillId="4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190" fontId="8" fillId="0" borderId="0" xfId="0" applyNumberFormat="1" applyFont="1" applyBorder="1" applyAlignment="1">
      <alignment horizontal="center" vertical="center"/>
    </xf>
    <xf numFmtId="183" fontId="8" fillId="0" borderId="4" xfId="0" applyNumberFormat="1" applyFont="1" applyBorder="1" applyAlignment="1">
      <alignment horizontal="center" vertical="center"/>
    </xf>
    <xf numFmtId="183" fontId="8" fillId="0" borderId="5" xfId="0" applyNumberFormat="1" applyFont="1" applyBorder="1" applyAlignment="1">
      <alignment horizontal="center" vertical="center"/>
    </xf>
    <xf numFmtId="183" fontId="8" fillId="0" borderId="19" xfId="0" applyNumberFormat="1" applyFont="1" applyBorder="1" applyAlignment="1">
      <alignment horizontal="center" vertical="center"/>
    </xf>
    <xf numFmtId="191" fontId="8" fillId="0" borderId="1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indent="3"/>
    </xf>
    <xf numFmtId="182" fontId="8" fillId="0" borderId="13" xfId="0" applyNumberFormat="1" applyFont="1" applyBorder="1" applyAlignment="1">
      <alignment horizontal="center" vertical="center"/>
    </xf>
    <xf numFmtId="182" fontId="8" fillId="0" borderId="7" xfId="0" applyNumberFormat="1" applyFont="1" applyBorder="1" applyAlignment="1">
      <alignment horizontal="center" vertical="center"/>
    </xf>
    <xf numFmtId="182" fontId="8" fillId="0" borderId="14" xfId="0" applyNumberFormat="1" applyFont="1" applyBorder="1" applyAlignment="1">
      <alignment horizontal="center" vertical="center"/>
    </xf>
    <xf numFmtId="192" fontId="8" fillId="0" borderId="4" xfId="0" applyNumberFormat="1" applyFont="1" applyBorder="1" applyAlignment="1">
      <alignment horizontal="center" vertical="center"/>
    </xf>
    <xf numFmtId="192" fontId="8" fillId="0" borderId="5" xfId="0" applyNumberFormat="1" applyFont="1" applyBorder="1" applyAlignment="1">
      <alignment horizontal="center" vertical="center"/>
    </xf>
    <xf numFmtId="192" fontId="8" fillId="0" borderId="0" xfId="0" applyNumberFormat="1" applyFont="1" applyBorder="1" applyAlignment="1">
      <alignment horizontal="center" vertical="center"/>
    </xf>
    <xf numFmtId="191" fontId="8" fillId="0" borderId="0" xfId="0" applyNumberFormat="1" applyFont="1" applyBorder="1" applyAlignment="1">
      <alignment horizontal="center" vertical="center"/>
    </xf>
    <xf numFmtId="192" fontId="8" fillId="0" borderId="15" xfId="0" applyNumberFormat="1" applyFont="1" applyBorder="1" applyAlignment="1">
      <alignment horizontal="center" vertical="center"/>
    </xf>
    <xf numFmtId="192" fontId="8" fillId="0" borderId="8" xfId="0" applyNumberFormat="1" applyFont="1" applyBorder="1" applyAlignment="1">
      <alignment horizontal="center" vertical="center"/>
    </xf>
    <xf numFmtId="191" fontId="8" fillId="0" borderId="16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 shrinkToFit="1"/>
    </xf>
    <xf numFmtId="0" fontId="8" fillId="2" borderId="30" xfId="0" applyFont="1" applyFill="1" applyBorder="1">
      <alignment vertical="center"/>
    </xf>
    <xf numFmtId="0" fontId="10" fillId="2" borderId="13" xfId="0" applyFont="1" applyFill="1" applyBorder="1" applyAlignment="1">
      <alignment horizontal="center" vertical="center"/>
    </xf>
    <xf numFmtId="176" fontId="10" fillId="2" borderId="7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3" fontId="8" fillId="0" borderId="32" xfId="0" applyNumberFormat="1" applyFont="1" applyBorder="1" applyAlignment="1">
      <alignment horizontal="center" vertical="center"/>
    </xf>
    <xf numFmtId="3" fontId="8" fillId="0" borderId="33" xfId="0" applyNumberFormat="1" applyFont="1" applyBorder="1" applyAlignment="1">
      <alignment horizontal="center" vertical="center"/>
    </xf>
    <xf numFmtId="192" fontId="10" fillId="0" borderId="4" xfId="0" applyNumberFormat="1" applyFont="1" applyBorder="1" applyAlignment="1">
      <alignment horizontal="center" vertical="center"/>
    </xf>
    <xf numFmtId="192" fontId="10" fillId="0" borderId="5" xfId="0" applyNumberFormat="1" applyFont="1" applyBorder="1" applyAlignment="1">
      <alignment horizontal="center" vertical="center"/>
    </xf>
    <xf numFmtId="192" fontId="10" fillId="0" borderId="15" xfId="0" applyNumberFormat="1" applyFont="1" applyBorder="1" applyAlignment="1">
      <alignment horizontal="center" vertical="center"/>
    </xf>
    <xf numFmtId="192" fontId="10" fillId="0" borderId="8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 shrinkToFit="1"/>
    </xf>
    <xf numFmtId="190" fontId="21" fillId="0" borderId="0" xfId="0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178" fontId="6" fillId="0" borderId="0" xfId="0" applyNumberFormat="1" applyFont="1" applyFill="1" applyAlignment="1">
      <alignment horizontal="center" vertical="center"/>
    </xf>
    <xf numFmtId="192" fontId="8" fillId="0" borderId="16" xfId="0" applyNumberFormat="1" applyFont="1" applyBorder="1" applyAlignment="1">
      <alignment horizontal="center" vertical="center"/>
    </xf>
    <xf numFmtId="194" fontId="8" fillId="0" borderId="4" xfId="0" applyNumberFormat="1" applyFont="1" applyBorder="1" applyAlignment="1">
      <alignment horizontal="center" vertical="center"/>
    </xf>
    <xf numFmtId="194" fontId="8" fillId="0" borderId="5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180" fontId="8" fillId="11" borderId="34" xfId="0" applyNumberFormat="1" applyFont="1" applyFill="1" applyBorder="1" applyAlignment="1">
      <alignment horizontal="center" vertical="center"/>
    </xf>
    <xf numFmtId="196" fontId="0" fillId="11" borderId="21" xfId="0" applyNumberFormat="1" applyFill="1" applyBorder="1" applyAlignment="1">
      <alignment horizontal="center" vertical="center" shrinkToFit="1"/>
    </xf>
    <xf numFmtId="180" fontId="8" fillId="11" borderId="8" xfId="0" applyNumberFormat="1" applyFont="1" applyFill="1" applyBorder="1" applyAlignment="1">
      <alignment horizontal="center" vertical="center"/>
    </xf>
    <xf numFmtId="195" fontId="0" fillId="11" borderId="16" xfId="0" applyNumberFormat="1" applyFill="1" applyBorder="1" applyAlignment="1">
      <alignment horizontal="center" vertical="center" shrinkToFit="1"/>
    </xf>
    <xf numFmtId="9" fontId="0" fillId="0" borderId="0" xfId="0" applyNumberFormat="1">
      <alignment vertical="center"/>
    </xf>
    <xf numFmtId="197" fontId="0" fillId="0" borderId="0" xfId="0" applyNumberFormat="1" applyAlignment="1">
      <alignment horizontal="center" vertical="center"/>
    </xf>
    <xf numFmtId="197" fontId="0" fillId="0" borderId="35" xfId="0" applyNumberFormat="1" applyBorder="1" applyAlignment="1">
      <alignment horizontal="center" vertical="center"/>
    </xf>
    <xf numFmtId="3" fontId="0" fillId="0" borderId="35" xfId="0" applyNumberFormat="1" applyBorder="1">
      <alignment vertical="center"/>
    </xf>
    <xf numFmtId="9" fontId="0" fillId="0" borderId="35" xfId="0" applyNumberFormat="1" applyBorder="1">
      <alignment vertical="center"/>
    </xf>
    <xf numFmtId="0" fontId="0" fillId="0" borderId="35" xfId="0" applyBorder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>
      <alignment vertical="center"/>
    </xf>
    <xf numFmtId="0" fontId="8" fillId="7" borderId="6" xfId="0" applyFont="1" applyFill="1" applyBorder="1" applyAlignment="1">
      <alignment horizontal="center" vertical="center"/>
    </xf>
    <xf numFmtId="198" fontId="25" fillId="0" borderId="19" xfId="0" applyNumberFormat="1" applyFont="1" applyBorder="1" applyAlignment="1">
      <alignment horizontal="center" vertical="center"/>
    </xf>
    <xf numFmtId="0" fontId="27" fillId="12" borderId="0" xfId="0" applyFont="1" applyFill="1">
      <alignment vertical="center"/>
    </xf>
    <xf numFmtId="9" fontId="8" fillId="2" borderId="16" xfId="0" applyNumberFormat="1" applyFont="1" applyFill="1" applyBorder="1" applyAlignment="1">
      <alignment horizontal="center" vertical="center" wrapText="1"/>
    </xf>
    <xf numFmtId="187" fontId="8" fillId="0" borderId="16" xfId="0" applyNumberFormat="1" applyFont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3" fontId="8" fillId="0" borderId="0" xfId="0" applyNumberFormat="1" applyFont="1">
      <alignment vertical="center"/>
    </xf>
    <xf numFmtId="0" fontId="28" fillId="2" borderId="1" xfId="0" applyFont="1" applyFill="1" applyBorder="1" applyAlignment="1">
      <alignment horizontal="center" vertical="center"/>
    </xf>
    <xf numFmtId="186" fontId="28" fillId="0" borderId="1" xfId="0" applyNumberFormat="1" applyFont="1" applyBorder="1">
      <alignment vertical="center"/>
    </xf>
    <xf numFmtId="3" fontId="28" fillId="0" borderId="3" xfId="0" applyNumberFormat="1" applyFont="1" applyBorder="1">
      <alignment vertical="center"/>
    </xf>
    <xf numFmtId="3" fontId="28" fillId="0" borderId="5" xfId="0" applyNumberFormat="1" applyFont="1" applyBorder="1">
      <alignment vertical="center"/>
    </xf>
    <xf numFmtId="3" fontId="28" fillId="0" borderId="37" xfId="0" applyNumberFormat="1" applyFont="1" applyBorder="1" applyAlignment="1">
      <alignment horizontal="centerContinuous" vertical="center"/>
    </xf>
    <xf numFmtId="3" fontId="28" fillId="0" borderId="2" xfId="0" applyNumberFormat="1" applyFont="1" applyBorder="1" applyAlignment="1">
      <alignment horizontal="centerContinuous" vertical="center"/>
    </xf>
    <xf numFmtId="0" fontId="28" fillId="0" borderId="19" xfId="0" applyFont="1" applyBorder="1" applyAlignment="1">
      <alignment horizontal="centerContinuous" vertical="center"/>
    </xf>
    <xf numFmtId="0" fontId="28" fillId="0" borderId="4" xfId="0" applyFont="1" applyBorder="1" applyAlignment="1">
      <alignment horizontal="centerContinuous" vertical="center"/>
    </xf>
    <xf numFmtId="0" fontId="28" fillId="0" borderId="1" xfId="0" applyFont="1" applyBorder="1" applyAlignment="1">
      <alignment horizontal="centerContinuous" vertical="center"/>
    </xf>
    <xf numFmtId="0" fontId="8" fillId="0" borderId="21" xfId="0" applyFont="1" applyBorder="1" applyAlignment="1">
      <alignment horizontal="centerContinuous" vertical="center"/>
    </xf>
    <xf numFmtId="0" fontId="28" fillId="0" borderId="0" xfId="0" applyFont="1">
      <alignment vertical="center"/>
    </xf>
    <xf numFmtId="0" fontId="28" fillId="2" borderId="36" xfId="0" applyFont="1" applyFill="1" applyBorder="1" applyAlignment="1">
      <alignment horizontal="centerContinuous" vertical="center"/>
    </xf>
    <xf numFmtId="0" fontId="28" fillId="2" borderId="22" xfId="0" applyFont="1" applyFill="1" applyBorder="1" applyAlignment="1">
      <alignment horizontal="centerContinuous" vertical="center"/>
    </xf>
    <xf numFmtId="0" fontId="23" fillId="13" borderId="0" xfId="0" applyFont="1" applyFill="1" applyBorder="1" applyAlignment="1">
      <alignment horizontal="centerContinuous" vertical="center"/>
    </xf>
    <xf numFmtId="0" fontId="24" fillId="13" borderId="0" xfId="0" applyFont="1" applyFill="1" applyBorder="1" applyAlignment="1">
      <alignment horizontal="centerContinuous" vertical="center"/>
    </xf>
    <xf numFmtId="186" fontId="1" fillId="0" borderId="0" xfId="0" applyNumberFormat="1" applyFont="1">
      <alignment vertical="center"/>
    </xf>
    <xf numFmtId="3" fontId="29" fillId="0" borderId="0" xfId="0" applyNumberFormat="1" applyFont="1" applyAlignment="1">
      <alignment horizontal="center" vertical="center"/>
    </xf>
    <xf numFmtId="183" fontId="30" fillId="0" borderId="38" xfId="0" applyNumberFormat="1" applyFont="1" applyBorder="1" applyAlignment="1">
      <alignment horizontal="centerContinuous" vertical="center"/>
    </xf>
    <xf numFmtId="0" fontId="30" fillId="0" borderId="38" xfId="0" applyFont="1" applyBorder="1" applyAlignment="1">
      <alignment horizontal="centerContinuous" vertical="center"/>
    </xf>
    <xf numFmtId="183" fontId="30" fillId="0" borderId="12" xfId="0" applyNumberFormat="1" applyFont="1" applyBorder="1" applyAlignment="1">
      <alignment horizontal="centerContinuous" vertical="center"/>
    </xf>
    <xf numFmtId="176" fontId="14" fillId="14" borderId="27" xfId="0" applyNumberFormat="1" applyFont="1" applyFill="1" applyBorder="1" applyAlignment="1">
      <alignment horizontal="centerContinuous" vertical="center" wrapText="1"/>
    </xf>
    <xf numFmtId="176" fontId="14" fillId="14" borderId="28" xfId="0" applyNumberFormat="1" applyFont="1" applyFill="1" applyBorder="1" applyAlignment="1">
      <alignment horizontal="centerContinuous" vertical="center" wrapText="1"/>
    </xf>
    <xf numFmtId="183" fontId="14" fillId="14" borderId="27" xfId="0" applyNumberFormat="1" applyFont="1" applyFill="1" applyBorder="1" applyAlignment="1">
      <alignment horizontal="center" vertical="center"/>
    </xf>
    <xf numFmtId="183" fontId="4" fillId="14" borderId="7" xfId="0" applyNumberFormat="1" applyFont="1" applyFill="1" applyBorder="1" applyAlignment="1">
      <alignment horizontal="center" vertical="center"/>
    </xf>
    <xf numFmtId="183" fontId="4" fillId="14" borderId="14" xfId="0" applyNumberFormat="1" applyFont="1" applyFill="1" applyBorder="1" applyAlignment="1">
      <alignment horizontal="center" vertical="center"/>
    </xf>
    <xf numFmtId="0" fontId="22" fillId="3" borderId="38" xfId="0" applyFont="1" applyFill="1" applyBorder="1" applyAlignment="1">
      <alignment horizontal="centerContinuous" vertical="center"/>
    </xf>
    <xf numFmtId="0" fontId="22" fillId="3" borderId="12" xfId="0" applyFont="1" applyFill="1" applyBorder="1" applyAlignment="1">
      <alignment horizontal="centerContinuous" vertical="center"/>
    </xf>
    <xf numFmtId="0" fontId="8" fillId="0" borderId="38" xfId="0" applyFont="1" applyBorder="1" applyAlignment="1">
      <alignment horizontal="center" vertical="center" wrapText="1"/>
    </xf>
    <xf numFmtId="202" fontId="8" fillId="0" borderId="38" xfId="0" applyNumberFormat="1" applyFont="1" applyBorder="1" applyAlignment="1">
      <alignment horizontal="center" vertical="center"/>
    </xf>
    <xf numFmtId="201" fontId="8" fillId="0" borderId="11" xfId="0" applyNumberFormat="1" applyFont="1" applyBorder="1" applyAlignment="1">
      <alignment horizontal="center" vertical="center"/>
    </xf>
    <xf numFmtId="184" fontId="8" fillId="0" borderId="16" xfId="0" applyNumberFormat="1" applyFont="1" applyBorder="1" applyAlignment="1">
      <alignment horizontal="center" vertical="center"/>
    </xf>
    <xf numFmtId="202" fontId="8" fillId="0" borderId="15" xfId="0" applyNumberFormat="1" applyFont="1" applyBorder="1" applyAlignment="1">
      <alignment horizontal="center" vertical="center"/>
    </xf>
    <xf numFmtId="201" fontId="8" fillId="0" borderId="11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Continuous" vertical="center"/>
    </xf>
    <xf numFmtId="203" fontId="22" fillId="2" borderId="7" xfId="0" applyNumberFormat="1" applyFont="1" applyFill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11" borderId="35" xfId="0" applyFont="1" applyFill="1" applyBorder="1" applyAlignment="1">
      <alignment horizontal="center" vertical="center" wrapText="1"/>
    </xf>
    <xf numFmtId="203" fontId="22" fillId="2" borderId="13" xfId="0" applyNumberFormat="1" applyFont="1" applyFill="1" applyBorder="1" applyAlignment="1">
      <alignment horizontal="center" vertical="center"/>
    </xf>
    <xf numFmtId="184" fontId="8" fillId="2" borderId="4" xfId="0" applyNumberFormat="1" applyFont="1" applyFill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/>
    </xf>
    <xf numFmtId="3" fontId="8" fillId="0" borderId="41" xfId="0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180" fontId="8" fillId="11" borderId="20" xfId="0" applyNumberFormat="1" applyFont="1" applyFill="1" applyBorder="1" applyAlignment="1">
      <alignment horizontal="center" vertical="center"/>
    </xf>
    <xf numFmtId="180" fontId="8" fillId="11" borderId="15" xfId="0" applyNumberFormat="1" applyFont="1" applyFill="1" applyBorder="1" applyAlignment="1">
      <alignment horizontal="center" vertical="center"/>
    </xf>
    <xf numFmtId="203" fontId="22" fillId="2" borderId="42" xfId="0" applyNumberFormat="1" applyFont="1" applyFill="1" applyBorder="1" applyAlignment="1">
      <alignment horizontal="center" vertical="center"/>
    </xf>
    <xf numFmtId="184" fontId="8" fillId="2" borderId="43" xfId="0" applyNumberFormat="1" applyFont="1" applyFill="1" applyBorder="1" applyAlignment="1">
      <alignment horizontal="center" vertical="center"/>
    </xf>
    <xf numFmtId="176" fontId="8" fillId="2" borderId="43" xfId="0" applyNumberFormat="1" applyFont="1" applyFill="1" applyBorder="1" applyAlignment="1">
      <alignment horizontal="center" vertical="center"/>
    </xf>
    <xf numFmtId="3" fontId="8" fillId="0" borderId="44" xfId="0" applyNumberFormat="1" applyFont="1" applyBorder="1" applyAlignment="1">
      <alignment horizontal="center" vertical="center"/>
    </xf>
    <xf numFmtId="3" fontId="8" fillId="0" borderId="43" xfId="0" applyNumberFormat="1" applyFont="1" applyBorder="1" applyAlignment="1">
      <alignment horizontal="center" vertical="center"/>
    </xf>
    <xf numFmtId="3" fontId="8" fillId="0" borderId="45" xfId="0" applyNumberFormat="1" applyFont="1" applyBorder="1" applyAlignment="1">
      <alignment horizontal="center" vertical="center"/>
    </xf>
    <xf numFmtId="180" fontId="8" fillId="11" borderId="46" xfId="0" applyNumberFormat="1" applyFont="1" applyFill="1" applyBorder="1" applyAlignment="1">
      <alignment horizontal="center" vertical="center"/>
    </xf>
    <xf numFmtId="180" fontId="8" fillId="11" borderId="4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>
      <alignment vertical="center"/>
    </xf>
    <xf numFmtId="176" fontId="0" fillId="0" borderId="0" xfId="0" applyNumberFormat="1" applyAlignment="1">
      <alignment horizontal="center" vertical="center"/>
    </xf>
    <xf numFmtId="3" fontId="8" fillId="0" borderId="3" xfId="0" applyNumberFormat="1" applyFont="1" applyBorder="1">
      <alignment vertical="center"/>
    </xf>
    <xf numFmtId="9" fontId="8" fillId="0" borderId="5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5" fillId="0" borderId="5" xfId="0" quotePrefix="1" applyNumberFormat="1" applyFont="1" applyBorder="1">
      <alignment vertical="center"/>
    </xf>
    <xf numFmtId="3" fontId="10" fillId="11" borderId="5" xfId="0" quotePrefix="1" applyNumberFormat="1" applyFont="1" applyFill="1" applyBorder="1">
      <alignment vertical="center"/>
    </xf>
    <xf numFmtId="0" fontId="22" fillId="0" borderId="4" xfId="0" applyFont="1" applyBorder="1" applyAlignment="1">
      <alignment horizontal="center" vertical="center"/>
    </xf>
    <xf numFmtId="204" fontId="8" fillId="0" borderId="19" xfId="0" applyNumberFormat="1" applyFont="1" applyBorder="1" applyAlignment="1">
      <alignment horizontal="centerContinuous" vertical="center"/>
    </xf>
    <xf numFmtId="205" fontId="8" fillId="0" borderId="19" xfId="0" applyNumberFormat="1" applyFont="1" applyBorder="1" applyAlignment="1">
      <alignment horizontal="centerContinuous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22" fillId="0" borderId="20" xfId="0" applyFont="1" applyBorder="1" applyAlignment="1">
      <alignment horizontal="center" vertical="center"/>
    </xf>
    <xf numFmtId="183" fontId="15" fillId="0" borderId="19" xfId="0" applyNumberFormat="1" applyFont="1" applyBorder="1" applyAlignment="1">
      <alignment horizontal="centerContinuous" vertical="center"/>
    </xf>
    <xf numFmtId="3" fontId="15" fillId="0" borderId="43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3" fontId="8" fillId="0" borderId="51" xfId="0" applyNumberFormat="1" applyFont="1" applyBorder="1" applyAlignment="1">
      <alignment horizontal="center" vertical="center"/>
    </xf>
    <xf numFmtId="3" fontId="8" fillId="0" borderId="52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 indent="3"/>
    </xf>
    <xf numFmtId="176" fontId="14" fillId="14" borderId="38" xfId="0" applyNumberFormat="1" applyFont="1" applyFill="1" applyBorder="1" applyAlignment="1">
      <alignment horizontal="centerContinuous" vertical="center" wrapText="1"/>
    </xf>
    <xf numFmtId="176" fontId="14" fillId="14" borderId="54" xfId="0" applyNumberFormat="1" applyFont="1" applyFill="1" applyBorder="1" applyAlignment="1">
      <alignment horizontal="centerContinuous" vertical="center" wrapText="1"/>
    </xf>
    <xf numFmtId="183" fontId="14" fillId="14" borderId="38" xfId="0" applyNumberFormat="1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 wrapText="1"/>
    </xf>
    <xf numFmtId="9" fontId="17" fillId="14" borderId="12" xfId="0" applyNumberFormat="1" applyFont="1" applyFill="1" applyBorder="1" applyAlignment="1">
      <alignment horizontal="center" vertical="center" wrapText="1"/>
    </xf>
    <xf numFmtId="206" fontId="22" fillId="2" borderId="42" xfId="0" applyNumberFormat="1" applyFont="1" applyFill="1" applyBorder="1" applyAlignment="1">
      <alignment horizontal="center" vertical="center"/>
    </xf>
    <xf numFmtId="184" fontId="10" fillId="2" borderId="19" xfId="0" applyNumberFormat="1" applyFont="1" applyFill="1" applyBorder="1" applyAlignment="1">
      <alignment horizontal="center" vertical="center"/>
    </xf>
    <xf numFmtId="183" fontId="10" fillId="0" borderId="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 shrinkToFit="1"/>
    </xf>
    <xf numFmtId="183" fontId="10" fillId="0" borderId="5" xfId="0" applyNumberFormat="1" applyFont="1" applyBorder="1" applyAlignment="1">
      <alignment horizontal="center" vertical="center"/>
    </xf>
    <xf numFmtId="3" fontId="10" fillId="11" borderId="0" xfId="0" quotePrefix="1" applyNumberFormat="1" applyFont="1" applyFill="1" applyBorder="1">
      <alignment vertical="center"/>
    </xf>
    <xf numFmtId="3" fontId="10" fillId="11" borderId="0" xfId="0" applyNumberFormat="1" applyFont="1" applyFill="1" applyBorder="1">
      <alignment vertical="center"/>
    </xf>
    <xf numFmtId="186" fontId="22" fillId="0" borderId="5" xfId="0" quotePrefix="1" applyNumberFormat="1" applyFont="1" applyFill="1" applyBorder="1">
      <alignment vertical="center"/>
    </xf>
    <xf numFmtId="186" fontId="10" fillId="0" borderId="0" xfId="0" quotePrefix="1" applyNumberFormat="1" applyFont="1" applyFill="1" applyBorder="1">
      <alignment vertical="center"/>
    </xf>
    <xf numFmtId="186" fontId="15" fillId="0" borderId="34" xfId="0" quotePrefix="1" applyNumberFormat="1" applyFont="1" applyFill="1" applyBorder="1">
      <alignment vertical="center"/>
    </xf>
    <xf numFmtId="186" fontId="10" fillId="0" borderId="21" xfId="0" quotePrefix="1" applyNumberFormat="1" applyFont="1" applyFill="1" applyBorder="1">
      <alignment vertical="center"/>
    </xf>
    <xf numFmtId="186" fontId="10" fillId="0" borderId="30" xfId="0" quotePrefix="1" applyNumberFormat="1" applyFont="1" applyFill="1" applyBorder="1">
      <alignment vertical="center"/>
    </xf>
    <xf numFmtId="3" fontId="8" fillId="0" borderId="40" xfId="0" applyNumberFormat="1" applyFont="1" applyBorder="1">
      <alignment vertical="center"/>
    </xf>
    <xf numFmtId="9" fontId="8" fillId="0" borderId="0" xfId="0" applyNumberFormat="1" applyFont="1" applyBorder="1">
      <alignment vertical="center"/>
    </xf>
    <xf numFmtId="3" fontId="8" fillId="0" borderId="0" xfId="0" applyNumberFormat="1" applyFont="1" applyBorder="1">
      <alignment vertical="center"/>
    </xf>
    <xf numFmtId="186" fontId="10" fillId="0" borderId="34" xfId="0" quotePrefix="1" applyNumberFormat="1" applyFont="1" applyFill="1" applyBorder="1">
      <alignment vertical="center"/>
    </xf>
    <xf numFmtId="0" fontId="32" fillId="15" borderId="38" xfId="0" applyFont="1" applyFill="1" applyBorder="1" applyAlignment="1">
      <alignment horizontal="centerContinuous" vertical="center"/>
    </xf>
    <xf numFmtId="0" fontId="32" fillId="16" borderId="12" xfId="0" applyFont="1" applyFill="1" applyBorder="1" applyAlignment="1">
      <alignment horizontal="centerContinuous" vertical="center"/>
    </xf>
    <xf numFmtId="0" fontId="33" fillId="0" borderId="0" xfId="0" applyFont="1" applyBorder="1" applyAlignment="1">
      <alignment horizontal="center" vertical="center"/>
    </xf>
    <xf numFmtId="0" fontId="21" fillId="6" borderId="0" xfId="0" applyFont="1" applyFill="1" applyBorder="1" applyAlignment="1">
      <alignment horizontal="centerContinuous" vertical="center"/>
    </xf>
    <xf numFmtId="0" fontId="27" fillId="4" borderId="0" xfId="0" applyFont="1" applyFill="1">
      <alignment vertical="center"/>
    </xf>
    <xf numFmtId="0" fontId="0" fillId="4" borderId="5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57" xfId="0" applyFill="1" applyBorder="1">
      <alignment vertical="center"/>
    </xf>
    <xf numFmtId="0" fontId="0" fillId="4" borderId="5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9" xfId="0" applyFill="1" applyBorder="1">
      <alignment vertical="center"/>
    </xf>
    <xf numFmtId="0" fontId="0" fillId="4" borderId="60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61" xfId="0" applyFill="1" applyBorder="1">
      <alignment vertical="center"/>
    </xf>
    <xf numFmtId="0" fontId="0" fillId="4" borderId="62" xfId="0" applyFill="1" applyBorder="1">
      <alignment vertical="center"/>
    </xf>
    <xf numFmtId="0" fontId="0" fillId="4" borderId="63" xfId="0" applyFill="1" applyBorder="1">
      <alignment vertical="center"/>
    </xf>
    <xf numFmtId="0" fontId="0" fillId="4" borderId="64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0" fontId="12" fillId="0" borderId="0" xfId="0" applyFont="1" applyFill="1">
      <alignment vertical="center"/>
    </xf>
    <xf numFmtId="0" fontId="12" fillId="0" borderId="0" xfId="0" applyFont="1" applyFill="1" applyBorder="1">
      <alignment vertical="center"/>
    </xf>
    <xf numFmtId="3" fontId="8" fillId="0" borderId="53" xfId="0" applyNumberFormat="1" applyFont="1" applyFill="1" applyBorder="1" applyAlignment="1">
      <alignment horizontal="center" vertical="center"/>
    </xf>
    <xf numFmtId="183" fontId="30" fillId="0" borderId="27" xfId="0" applyNumberFormat="1" applyFont="1" applyBorder="1" applyAlignment="1">
      <alignment horizontal="centerContinuous" vertical="center"/>
    </xf>
    <xf numFmtId="183" fontId="30" fillId="0" borderId="14" xfId="0" applyNumberFormat="1" applyFont="1" applyBorder="1" applyAlignment="1">
      <alignment horizontal="centerContinuous" vertical="center"/>
    </xf>
    <xf numFmtId="0" fontId="30" fillId="0" borderId="27" xfId="0" applyFont="1" applyBorder="1" applyAlignment="1">
      <alignment horizontal="centerContinuous" vertical="center"/>
    </xf>
    <xf numFmtId="0" fontId="8" fillId="0" borderId="35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209" fontId="10" fillId="0" borderId="15" xfId="0" applyNumberFormat="1" applyFont="1" applyBorder="1" applyAlignment="1">
      <alignment horizontal="center" vertical="center"/>
    </xf>
    <xf numFmtId="209" fontId="10" fillId="0" borderId="5" xfId="0" applyNumberFormat="1" applyFont="1" applyBorder="1" applyAlignment="1">
      <alignment horizontal="center" vertical="center"/>
    </xf>
    <xf numFmtId="209" fontId="10" fillId="0" borderId="8" xfId="0" applyNumberFormat="1" applyFont="1" applyBorder="1" applyAlignment="1">
      <alignment horizontal="center" vertical="center"/>
    </xf>
    <xf numFmtId="210" fontId="8" fillId="11" borderId="8" xfId="0" applyNumberFormat="1" applyFont="1" applyFill="1" applyBorder="1" applyAlignment="1">
      <alignment horizontal="center" vertical="center"/>
    </xf>
    <xf numFmtId="210" fontId="8" fillId="11" borderId="34" xfId="0" applyNumberFormat="1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horizontal="center" vertical="center"/>
    </xf>
    <xf numFmtId="176" fontId="35" fillId="2" borderId="6" xfId="0" applyNumberFormat="1" applyFont="1" applyFill="1" applyBorder="1" applyAlignment="1">
      <alignment horizontal="center" vertical="center"/>
    </xf>
    <xf numFmtId="0" fontId="35" fillId="2" borderId="6" xfId="0" applyFont="1" applyFill="1" applyBorder="1" applyAlignment="1">
      <alignment horizontal="center" vertical="center"/>
    </xf>
    <xf numFmtId="3" fontId="35" fillId="2" borderId="6" xfId="0" applyNumberFormat="1" applyFont="1" applyFill="1" applyBorder="1" applyAlignment="1">
      <alignment horizontal="center" vertical="center"/>
    </xf>
    <xf numFmtId="9" fontId="35" fillId="2" borderId="6" xfId="0" applyNumberFormat="1" applyFont="1" applyFill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/>
    </xf>
    <xf numFmtId="184" fontId="35" fillId="0" borderId="7" xfId="0" applyNumberFormat="1" applyFont="1" applyBorder="1" applyAlignment="1">
      <alignment horizontal="center" vertical="center"/>
    </xf>
    <xf numFmtId="176" fontId="35" fillId="0" borderId="7" xfId="0" applyNumberFormat="1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184" fontId="35" fillId="0" borderId="8" xfId="0" applyNumberFormat="1" applyFont="1" applyBorder="1" applyAlignment="1">
      <alignment horizontal="center" vertical="center"/>
    </xf>
    <xf numFmtId="176" fontId="35" fillId="0" borderId="8" xfId="0" applyNumberFormat="1" applyFont="1" applyBorder="1" applyAlignment="1">
      <alignment horizontal="center" vertical="center"/>
    </xf>
    <xf numFmtId="0" fontId="36" fillId="3" borderId="54" xfId="0" applyFont="1" applyFill="1" applyBorder="1" applyAlignment="1">
      <alignment horizontal="center" vertical="center" wrapText="1"/>
    </xf>
    <xf numFmtId="3" fontId="36" fillId="3" borderId="55" xfId="0" applyNumberFormat="1" applyFont="1" applyFill="1" applyBorder="1" applyAlignment="1">
      <alignment horizontal="center" vertical="center"/>
    </xf>
    <xf numFmtId="186" fontId="36" fillId="3" borderId="55" xfId="0" applyNumberFormat="1" applyFont="1" applyFill="1" applyBorder="1" applyAlignment="1">
      <alignment horizontal="centerContinuous" vertical="center"/>
    </xf>
    <xf numFmtId="0" fontId="36" fillId="3" borderId="38" xfId="0" applyFont="1" applyFill="1" applyBorder="1" applyAlignment="1">
      <alignment horizontal="center" vertical="center" wrapText="1"/>
    </xf>
    <xf numFmtId="186" fontId="36" fillId="3" borderId="38" xfId="0" applyNumberFormat="1" applyFont="1" applyFill="1" applyBorder="1" applyAlignment="1">
      <alignment horizontal="centerContinuous" vertical="center"/>
    </xf>
    <xf numFmtId="0" fontId="32" fillId="6" borderId="0" xfId="0" applyFont="1" applyFill="1" applyBorder="1" applyAlignment="1">
      <alignment horizontal="centerContinuous" vertical="center"/>
    </xf>
    <xf numFmtId="3" fontId="30" fillId="0" borderId="50" xfId="0" applyNumberFormat="1" applyFont="1" applyBorder="1" applyAlignment="1">
      <alignment horizontal="center" vertical="center"/>
    </xf>
    <xf numFmtId="3" fontId="30" fillId="0" borderId="43" xfId="0" applyNumberFormat="1" applyFont="1" applyBorder="1" applyAlignment="1">
      <alignment horizontal="center" vertical="center"/>
    </xf>
    <xf numFmtId="183" fontId="30" fillId="0" borderId="19" xfId="0" applyNumberFormat="1" applyFont="1" applyBorder="1" applyAlignment="1">
      <alignment horizontal="center" vertical="center"/>
    </xf>
    <xf numFmtId="3" fontId="30" fillId="0" borderId="5" xfId="0" applyNumberFormat="1" applyFont="1" applyBorder="1" applyAlignment="1">
      <alignment horizontal="center" vertical="center"/>
    </xf>
    <xf numFmtId="3" fontId="30" fillId="0" borderId="19" xfId="0" applyNumberFormat="1" applyFont="1" applyBorder="1" applyAlignment="1">
      <alignment horizontal="center" vertical="center"/>
    </xf>
    <xf numFmtId="3" fontId="30" fillId="0" borderId="8" xfId="0" applyNumberFormat="1" applyFont="1" applyBorder="1" applyAlignment="1">
      <alignment horizontal="center" vertical="center"/>
    </xf>
    <xf numFmtId="3" fontId="30" fillId="0" borderId="16" xfId="0" applyNumberFormat="1" applyFont="1" applyBorder="1" applyAlignment="1">
      <alignment horizontal="center" vertical="center"/>
    </xf>
    <xf numFmtId="3" fontId="30" fillId="0" borderId="47" xfId="0" applyNumberFormat="1" applyFont="1" applyBorder="1" applyAlignment="1">
      <alignment horizontal="center" vertical="center"/>
    </xf>
    <xf numFmtId="0" fontId="37" fillId="0" borderId="38" xfId="0" applyFont="1" applyBorder="1" applyAlignment="1">
      <alignment horizontal="center" vertical="center" wrapText="1"/>
    </xf>
    <xf numFmtId="202" fontId="37" fillId="0" borderId="38" xfId="0" applyNumberFormat="1" applyFont="1" applyBorder="1" applyAlignment="1">
      <alignment horizontal="center" vertical="center"/>
    </xf>
    <xf numFmtId="201" fontId="37" fillId="0" borderId="11" xfId="0" applyNumberFormat="1" applyFont="1" applyBorder="1" applyAlignment="1">
      <alignment horizontal="center" vertical="center"/>
    </xf>
    <xf numFmtId="184" fontId="37" fillId="0" borderId="16" xfId="0" applyNumberFormat="1" applyFont="1" applyBorder="1" applyAlignment="1">
      <alignment horizontal="center" vertical="center"/>
    </xf>
    <xf numFmtId="201" fontId="37" fillId="0" borderId="11" xfId="0" applyNumberFormat="1" applyFont="1" applyFill="1" applyBorder="1" applyAlignment="1">
      <alignment horizontal="center" vertical="center"/>
    </xf>
    <xf numFmtId="3" fontId="20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34" fillId="2" borderId="22" xfId="0" applyFont="1" applyFill="1" applyBorder="1" applyAlignment="1">
      <alignment horizontal="center" vertical="center"/>
    </xf>
    <xf numFmtId="197" fontId="34" fillId="2" borderId="1" xfId="0" applyNumberFormat="1" applyFont="1" applyFill="1" applyBorder="1" applyAlignment="1">
      <alignment horizontal="center" vertical="center"/>
    </xf>
    <xf numFmtId="0" fontId="34" fillId="2" borderId="36" xfId="0" applyFont="1" applyFill="1" applyBorder="1" applyAlignment="1">
      <alignment horizontal="centerContinuous" vertical="center"/>
    </xf>
    <xf numFmtId="0" fontId="20" fillId="2" borderId="48" xfId="0" applyFont="1" applyFill="1" applyBorder="1" applyAlignment="1">
      <alignment horizontal="centerContinuous" vertical="center"/>
    </xf>
    <xf numFmtId="197" fontId="34" fillId="2" borderId="48" xfId="0" applyNumberFormat="1" applyFont="1" applyFill="1" applyBorder="1" applyAlignment="1">
      <alignment horizontal="center" vertical="center"/>
    </xf>
    <xf numFmtId="184" fontId="30" fillId="2" borderId="19" xfId="0" applyNumberFormat="1" applyFont="1" applyFill="1" applyBorder="1" applyAlignment="1">
      <alignment horizontal="center" vertical="center"/>
    </xf>
    <xf numFmtId="3" fontId="38" fillId="0" borderId="19" xfId="0" applyNumberFormat="1" applyFont="1" applyFill="1" applyBorder="1" applyAlignment="1">
      <alignment horizontal="center" vertical="center"/>
    </xf>
    <xf numFmtId="3" fontId="38" fillId="17" borderId="19" xfId="0" applyNumberFormat="1" applyFont="1" applyFill="1" applyBorder="1" applyAlignment="1">
      <alignment horizontal="center" vertical="center"/>
    </xf>
    <xf numFmtId="3" fontId="38" fillId="17" borderId="16" xfId="0" applyNumberFormat="1" applyFont="1" applyFill="1" applyBorder="1" applyAlignment="1">
      <alignment horizontal="center" vertical="center"/>
    </xf>
    <xf numFmtId="183" fontId="39" fillId="0" borderId="1" xfId="0" applyNumberFormat="1" applyFont="1" applyBorder="1" applyAlignment="1">
      <alignment horizontal="centerContinuous" vertical="center"/>
    </xf>
    <xf numFmtId="0" fontId="39" fillId="0" borderId="1" xfId="0" applyFont="1" applyBorder="1" applyAlignment="1">
      <alignment horizontal="centerContinuous" vertical="center"/>
    </xf>
    <xf numFmtId="183" fontId="40" fillId="0" borderId="1" xfId="0" applyNumberFormat="1" applyFont="1" applyBorder="1" applyAlignment="1">
      <alignment horizontal="centerContinuous" vertical="center"/>
    </xf>
    <xf numFmtId="3" fontId="39" fillId="0" borderId="1" xfId="0" applyNumberFormat="1" applyFont="1" applyBorder="1" applyAlignment="1">
      <alignment horizontal="centerContinuous" vertical="center"/>
    </xf>
    <xf numFmtId="212" fontId="39" fillId="0" borderId="1" xfId="0" applyNumberFormat="1" applyFont="1" applyBorder="1" applyAlignment="1">
      <alignment horizontal="centerContinuous" vertical="center"/>
    </xf>
    <xf numFmtId="3" fontId="39" fillId="18" borderId="36" xfId="0" applyNumberFormat="1" applyFont="1" applyFill="1" applyBorder="1" applyAlignment="1">
      <alignment horizontal="center" vertical="center"/>
    </xf>
    <xf numFmtId="3" fontId="39" fillId="18" borderId="48" xfId="0" applyNumberFormat="1" applyFont="1" applyFill="1" applyBorder="1" applyAlignment="1">
      <alignment horizontal="centerContinuous" vertical="center"/>
    </xf>
    <xf numFmtId="0" fontId="40" fillId="0" borderId="1" xfId="0" applyFont="1" applyBorder="1" applyAlignment="1">
      <alignment horizontal="centerContinuous" vertical="center"/>
    </xf>
    <xf numFmtId="0" fontId="8" fillId="0" borderId="1" xfId="0" applyFont="1" applyBorder="1" applyAlignment="1">
      <alignment horizontal="centerContinuous" vertical="center" wrapText="1"/>
    </xf>
    <xf numFmtId="0" fontId="39" fillId="3" borderId="40" xfId="0" applyFont="1" applyFill="1" applyBorder="1">
      <alignment vertical="center"/>
    </xf>
    <xf numFmtId="197" fontId="8" fillId="3" borderId="1" xfId="0" applyNumberFormat="1" applyFont="1" applyFill="1" applyBorder="1" applyAlignment="1">
      <alignment horizontal="center" vertical="center"/>
    </xf>
    <xf numFmtId="3" fontId="39" fillId="18" borderId="48" xfId="0" applyNumberFormat="1" applyFont="1" applyFill="1" applyBorder="1" applyAlignment="1">
      <alignment horizontal="center" vertical="center"/>
    </xf>
    <xf numFmtId="214" fontId="8" fillId="0" borderId="1" xfId="0" applyNumberFormat="1" applyFont="1" applyBorder="1" applyAlignment="1">
      <alignment horizontal="center" vertical="center"/>
    </xf>
    <xf numFmtId="213" fontId="8" fillId="0" borderId="3" xfId="0" applyNumberFormat="1" applyFont="1" applyBorder="1" applyAlignment="1">
      <alignment horizontal="center" vertical="center"/>
    </xf>
    <xf numFmtId="213" fontId="8" fillId="0" borderId="3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13" fontId="8" fillId="0" borderId="37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213" fontId="8" fillId="0" borderId="2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213" fontId="8" fillId="0" borderId="5" xfId="0" applyNumberFormat="1" applyFont="1" applyBorder="1" applyAlignment="1">
      <alignment horizontal="center" vertical="center"/>
    </xf>
    <xf numFmtId="213" fontId="8" fillId="0" borderId="19" xfId="0" applyNumberFormat="1" applyFont="1" applyBorder="1" applyAlignment="1">
      <alignment horizontal="center" vertical="center"/>
    </xf>
    <xf numFmtId="213" fontId="1" fillId="0" borderId="1" xfId="0" applyNumberFormat="1" applyFont="1" applyBorder="1" applyAlignment="1">
      <alignment horizontal="center" vertical="center"/>
    </xf>
    <xf numFmtId="183" fontId="1" fillId="0" borderId="1" xfId="0" applyNumberFormat="1" applyFont="1" applyFill="1" applyBorder="1" applyAlignment="1">
      <alignment horizontal="center" vertical="center"/>
    </xf>
    <xf numFmtId="216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Continuous" vertical="center"/>
    </xf>
    <xf numFmtId="0" fontId="1" fillId="0" borderId="34" xfId="0" applyFont="1" applyBorder="1" applyAlignment="1">
      <alignment horizontal="centerContinuous" vertical="center"/>
    </xf>
    <xf numFmtId="0" fontId="1" fillId="2" borderId="36" xfId="0" applyFont="1" applyFill="1" applyBorder="1">
      <alignment vertical="center"/>
    </xf>
    <xf numFmtId="213" fontId="1" fillId="0" borderId="36" xfId="0" applyNumberFormat="1" applyFont="1" applyBorder="1" applyAlignment="1">
      <alignment horizontal="center" vertical="center"/>
    </xf>
    <xf numFmtId="213" fontId="1" fillId="0" borderId="65" xfId="0" applyNumberFormat="1" applyFont="1" applyBorder="1" applyAlignment="1">
      <alignment horizontal="center" vertical="center"/>
    </xf>
    <xf numFmtId="9" fontId="1" fillId="2" borderId="65" xfId="0" applyNumberFormat="1" applyFont="1" applyFill="1" applyBorder="1" applyAlignment="1">
      <alignment horizontal="center" vertical="center"/>
    </xf>
    <xf numFmtId="216" fontId="1" fillId="0" borderId="36" xfId="0" applyNumberFormat="1" applyFont="1" applyFill="1" applyBorder="1" applyAlignment="1">
      <alignment horizontal="left" vertical="center"/>
    </xf>
    <xf numFmtId="216" fontId="1" fillId="0" borderId="48" xfId="0" applyNumberFormat="1" applyFont="1" applyFill="1" applyBorder="1" applyAlignment="1">
      <alignment horizontal="left" vertical="center"/>
    </xf>
    <xf numFmtId="0" fontId="39" fillId="2" borderId="9" xfId="0" applyFont="1" applyFill="1" applyBorder="1" applyAlignment="1">
      <alignment horizontal="centerContinuous" vertical="center"/>
    </xf>
    <xf numFmtId="0" fontId="39" fillId="0" borderId="10" xfId="0" applyFont="1" applyBorder="1" applyAlignment="1">
      <alignment horizontal="centerContinuous" vertical="center" wrapText="1"/>
    </xf>
    <xf numFmtId="180" fontId="39" fillId="0" borderId="10" xfId="0" applyNumberFormat="1" applyFont="1" applyBorder="1" applyAlignment="1">
      <alignment horizontal="center" vertical="center"/>
    </xf>
    <xf numFmtId="211" fontId="39" fillId="0" borderId="10" xfId="0" applyNumberFormat="1" applyFont="1" applyBorder="1" applyAlignment="1">
      <alignment horizontal="center" vertical="center"/>
    </xf>
    <xf numFmtId="0" fontId="41" fillId="0" borderId="0" xfId="0" applyFont="1" applyBorder="1">
      <alignment vertical="center"/>
    </xf>
    <xf numFmtId="0" fontId="39" fillId="0" borderId="22" xfId="0" applyFont="1" applyBorder="1" applyAlignment="1">
      <alignment horizontal="centerContinuous" vertical="center"/>
    </xf>
    <xf numFmtId="0" fontId="39" fillId="0" borderId="23" xfId="0" applyFont="1" applyBorder="1" applyAlignment="1">
      <alignment horizontal="centerContinuous" vertical="center" wrapText="1"/>
    </xf>
    <xf numFmtId="211" fontId="39" fillId="0" borderId="24" xfId="0" applyNumberFormat="1" applyFont="1" applyBorder="1" applyAlignment="1">
      <alignment horizontal="center" vertical="center"/>
    </xf>
    <xf numFmtId="183" fontId="40" fillId="0" borderId="36" xfId="0" applyNumberFormat="1" applyFont="1" applyBorder="1" applyAlignment="1">
      <alignment horizontal="centerContinuous" vertical="center"/>
    </xf>
    <xf numFmtId="3" fontId="40" fillId="0" borderId="36" xfId="0" applyNumberFormat="1" applyFont="1" applyBorder="1" applyAlignment="1">
      <alignment horizontal="centerContinuous" vertical="center"/>
    </xf>
    <xf numFmtId="0" fontId="42" fillId="0" borderId="0" xfId="0" applyFont="1" applyBorder="1">
      <alignment vertical="center"/>
    </xf>
    <xf numFmtId="0" fontId="44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4" xfId="0" applyBorder="1">
      <alignment vertical="center"/>
    </xf>
    <xf numFmtId="0" fontId="0" fillId="0" borderId="0" xfId="0" applyBorder="1" applyAlignment="1">
      <alignment horizontal="center"/>
    </xf>
    <xf numFmtId="0" fontId="1" fillId="0" borderId="22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/>
    </xf>
    <xf numFmtId="217" fontId="1" fillId="0" borderId="3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Continuous" vertical="center"/>
    </xf>
    <xf numFmtId="0" fontId="0" fillId="0" borderId="0" xfId="0" applyBorder="1" applyAlignment="1">
      <alignment horizontal="right"/>
    </xf>
    <xf numFmtId="0" fontId="8" fillId="0" borderId="13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213" fontId="8" fillId="0" borderId="9" xfId="0" applyNumberFormat="1" applyFont="1" applyBorder="1" applyAlignment="1">
      <alignment horizontal="center" vertical="center"/>
    </xf>
    <xf numFmtId="213" fontId="8" fillId="0" borderId="18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Continuous" vertical="center" wrapText="1"/>
    </xf>
    <xf numFmtId="214" fontId="8" fillId="0" borderId="1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Continuous" vertical="center"/>
    </xf>
    <xf numFmtId="0" fontId="1" fillId="2" borderId="10" xfId="0" applyFont="1" applyFill="1" applyBorder="1">
      <alignment vertical="center"/>
    </xf>
    <xf numFmtId="0" fontId="1" fillId="2" borderId="24" xfId="0" applyFont="1" applyFill="1" applyBorder="1">
      <alignment vertical="center"/>
    </xf>
    <xf numFmtId="9" fontId="1" fillId="2" borderId="66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Continuous" vertical="center"/>
    </xf>
    <xf numFmtId="0" fontId="1" fillId="0" borderId="10" xfId="0" applyFont="1" applyBorder="1" applyAlignment="1">
      <alignment horizontal="centerContinuous" vertical="center"/>
    </xf>
    <xf numFmtId="213" fontId="1" fillId="0" borderId="10" xfId="0" applyNumberFormat="1" applyFont="1" applyBorder="1" applyAlignment="1">
      <alignment horizontal="center" vertical="center"/>
    </xf>
    <xf numFmtId="183" fontId="1" fillId="0" borderId="10" xfId="0" applyNumberFormat="1" applyFont="1" applyFill="1" applyBorder="1" applyAlignment="1">
      <alignment horizontal="center" vertical="center"/>
    </xf>
    <xf numFmtId="216" fontId="1" fillId="0" borderId="10" xfId="0" applyNumberFormat="1" applyFont="1" applyFill="1" applyBorder="1" applyAlignment="1">
      <alignment horizontal="center" vertical="center"/>
    </xf>
    <xf numFmtId="216" fontId="1" fillId="0" borderId="24" xfId="0" applyNumberFormat="1" applyFont="1" applyFill="1" applyBorder="1" applyAlignment="1">
      <alignment horizontal="left" vertical="center"/>
    </xf>
    <xf numFmtId="216" fontId="1" fillId="0" borderId="26" xfId="0" applyNumberFormat="1" applyFont="1" applyFill="1" applyBorder="1" applyAlignment="1">
      <alignment horizontal="left" vertical="center"/>
    </xf>
    <xf numFmtId="213" fontId="1" fillId="0" borderId="34" xfId="0" applyNumberFormat="1" applyFont="1" applyBorder="1" applyAlignment="1">
      <alignment horizontal="center" vertical="center"/>
    </xf>
    <xf numFmtId="183" fontId="1" fillId="0" borderId="34" xfId="0" applyNumberFormat="1" applyFont="1" applyFill="1" applyBorder="1" applyAlignment="1">
      <alignment horizontal="center" vertical="center"/>
    </xf>
    <xf numFmtId="216" fontId="1" fillId="0" borderId="34" xfId="0" applyNumberFormat="1" applyFont="1" applyFill="1" applyBorder="1" applyAlignment="1">
      <alignment horizontal="center" vertical="center"/>
    </xf>
    <xf numFmtId="216" fontId="1" fillId="0" borderId="21" xfId="0" applyNumberFormat="1" applyFont="1" applyFill="1" applyBorder="1" applyAlignment="1">
      <alignment horizontal="left" vertical="center"/>
    </xf>
    <xf numFmtId="216" fontId="1" fillId="0" borderId="30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Continuous" vertical="center"/>
    </xf>
    <xf numFmtId="213" fontId="1" fillId="2" borderId="34" xfId="0" applyNumberFormat="1" applyFont="1" applyFill="1" applyBorder="1" applyAlignment="1">
      <alignment horizontal="center" vertical="center"/>
    </xf>
    <xf numFmtId="213" fontId="1" fillId="2" borderId="21" xfId="0" applyNumberFormat="1" applyFont="1" applyFill="1" applyBorder="1" applyAlignment="1">
      <alignment horizontal="center" vertical="center"/>
    </xf>
    <xf numFmtId="213" fontId="1" fillId="0" borderId="67" xfId="0" applyNumberFormat="1" applyFont="1" applyBorder="1" applyAlignment="1">
      <alignment horizontal="center" vertical="center"/>
    </xf>
    <xf numFmtId="217" fontId="1" fillId="0" borderId="21" xfId="0" applyNumberFormat="1" applyFont="1" applyBorder="1" applyAlignment="1">
      <alignment horizontal="center" vertical="center"/>
    </xf>
    <xf numFmtId="0" fontId="39" fillId="0" borderId="0" xfId="0" applyFont="1" applyBorder="1" applyAlignment="1">
      <alignment horizontal="centerContinuous" vertical="center"/>
    </xf>
    <xf numFmtId="212" fontId="39" fillId="0" borderId="0" xfId="0" applyNumberFormat="1" applyFont="1" applyBorder="1" applyAlignment="1">
      <alignment horizontal="centerContinuous" vertical="center"/>
    </xf>
    <xf numFmtId="3" fontId="39" fillId="0" borderId="0" xfId="0" applyNumberFormat="1" applyFont="1" applyBorder="1" applyAlignment="1">
      <alignment horizontal="centerContinuous" vertical="center"/>
    </xf>
    <xf numFmtId="3" fontId="40" fillId="0" borderId="0" xfId="0" applyNumberFormat="1" applyFont="1" applyBorder="1" applyAlignment="1">
      <alignment horizontal="centerContinuous" vertical="center"/>
    </xf>
    <xf numFmtId="0" fontId="1" fillId="2" borderId="11" xfId="0" applyFont="1" applyFill="1" applyBorder="1" applyAlignment="1">
      <alignment horizontal="centerContinuous" vertical="center"/>
    </xf>
    <xf numFmtId="0" fontId="1" fillId="2" borderId="6" xfId="0" applyFont="1" applyFill="1" applyBorder="1" applyAlignment="1">
      <alignment horizontal="centerContinuous" vertical="center"/>
    </xf>
    <xf numFmtId="197" fontId="1" fillId="2" borderId="6" xfId="0" applyNumberFormat="1" applyFont="1" applyFill="1" applyBorder="1" applyAlignment="1">
      <alignment horizontal="center" vertical="center"/>
    </xf>
    <xf numFmtId="197" fontId="1" fillId="2" borderId="12" xfId="0" applyNumberFormat="1" applyFont="1" applyFill="1" applyBorder="1" applyAlignment="1">
      <alignment horizontal="center" vertical="center"/>
    </xf>
    <xf numFmtId="197" fontId="1" fillId="2" borderId="68" xfId="0" applyNumberFormat="1" applyFont="1" applyFill="1" applyBorder="1" applyAlignment="1">
      <alignment horizontal="center" vertical="center"/>
    </xf>
    <xf numFmtId="197" fontId="1" fillId="2" borderId="12" xfId="0" applyNumberFormat="1" applyFont="1" applyFill="1" applyBorder="1" applyAlignment="1">
      <alignment horizontal="center" vertical="center" wrapText="1"/>
    </xf>
    <xf numFmtId="215" fontId="1" fillId="2" borderId="6" xfId="0" applyNumberFormat="1" applyFont="1" applyFill="1" applyBorder="1" applyAlignment="1">
      <alignment horizontal="center" vertical="center" wrapText="1"/>
    </xf>
    <xf numFmtId="215" fontId="1" fillId="2" borderId="6" xfId="0" applyNumberFormat="1" applyFont="1" applyFill="1" applyBorder="1" applyAlignment="1">
      <alignment horizontal="centerContinuous" vertical="center" wrapText="1"/>
    </xf>
    <xf numFmtId="215" fontId="1" fillId="2" borderId="12" xfId="0" applyNumberFormat="1" applyFont="1" applyFill="1" applyBorder="1" applyAlignment="1">
      <alignment horizontal="centerContinuous" vertical="center" wrapText="1"/>
    </xf>
    <xf numFmtId="0" fontId="8" fillId="2" borderId="11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197" fontId="8" fillId="2" borderId="6" xfId="0" applyNumberFormat="1" applyFont="1" applyFill="1" applyBorder="1" applyAlignment="1">
      <alignment horizontal="center" vertical="center"/>
    </xf>
    <xf numFmtId="197" fontId="8" fillId="2" borderId="12" xfId="0" applyNumberFormat="1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Continuous" vertical="center"/>
    </xf>
    <xf numFmtId="0" fontId="45" fillId="6" borderId="0" xfId="0" applyFont="1" applyFill="1" applyBorder="1" applyAlignment="1">
      <alignment horizontal="centerContinuous" vertical="center"/>
    </xf>
    <xf numFmtId="0" fontId="39" fillId="0" borderId="20" xfId="0" applyFont="1" applyBorder="1" applyAlignment="1">
      <alignment horizontal="centerContinuous" vertical="center"/>
    </xf>
    <xf numFmtId="0" fontId="39" fillId="0" borderId="34" xfId="0" applyFont="1" applyBorder="1" applyAlignment="1">
      <alignment horizontal="centerContinuous" vertical="center"/>
    </xf>
    <xf numFmtId="0" fontId="39" fillId="0" borderId="34" xfId="0" applyFont="1" applyBorder="1" applyAlignment="1">
      <alignment horizontal="center" vertical="center"/>
    </xf>
    <xf numFmtId="3" fontId="39" fillId="0" borderId="34" xfId="0" applyNumberFormat="1" applyFont="1" applyBorder="1" applyAlignment="1">
      <alignment horizontal="center" vertical="center"/>
    </xf>
    <xf numFmtId="186" fontId="39" fillId="0" borderId="34" xfId="0" applyNumberFormat="1" applyFont="1" applyBorder="1" applyAlignment="1">
      <alignment horizontal="center" vertical="center"/>
    </xf>
    <xf numFmtId="186" fontId="39" fillId="0" borderId="21" xfId="0" applyNumberFormat="1" applyFont="1" applyBorder="1" applyAlignment="1">
      <alignment horizontal="center" vertical="center"/>
    </xf>
    <xf numFmtId="0" fontId="39" fillId="2" borderId="10" xfId="0" applyFont="1" applyFill="1" applyBorder="1" applyAlignment="1">
      <alignment horizontal="centerContinuous" vertical="center"/>
    </xf>
    <xf numFmtId="0" fontId="39" fillId="2" borderId="10" xfId="0" applyFont="1" applyFill="1" applyBorder="1" applyAlignment="1">
      <alignment horizontal="centerContinuous" vertical="center" wrapText="1"/>
    </xf>
    <xf numFmtId="213" fontId="8" fillId="2" borderId="9" xfId="0" applyNumberFormat="1" applyFont="1" applyFill="1" applyBorder="1" applyAlignment="1">
      <alignment horizontal="center" vertical="center"/>
    </xf>
    <xf numFmtId="213" fontId="8" fillId="2" borderId="1" xfId="0" applyNumberFormat="1" applyFont="1" applyFill="1" applyBorder="1" applyAlignment="1">
      <alignment horizontal="center" vertical="center"/>
    </xf>
    <xf numFmtId="3" fontId="8" fillId="2" borderId="10" xfId="0" applyNumberFormat="1" applyFont="1" applyFill="1" applyBorder="1" applyAlignment="1">
      <alignment horizontal="center" vertical="center"/>
    </xf>
    <xf numFmtId="213" fontId="8" fillId="2" borderId="5" xfId="0" applyNumberFormat="1" applyFont="1" applyFill="1" applyBorder="1" applyAlignment="1">
      <alignment horizontal="center" vertical="center"/>
    </xf>
    <xf numFmtId="213" fontId="8" fillId="2" borderId="34" xfId="0" applyNumberFormat="1" applyFont="1" applyFill="1" applyBorder="1" applyAlignment="1">
      <alignment horizontal="center" vertical="center"/>
    </xf>
    <xf numFmtId="213" fontId="8" fillId="2" borderId="3" xfId="0" applyNumberFormat="1" applyFont="1" applyFill="1" applyBorder="1" applyAlignment="1">
      <alignment horizontal="center" vertical="center"/>
    </xf>
    <xf numFmtId="180" fontId="39" fillId="2" borderId="10" xfId="0" applyNumberFormat="1" applyFont="1" applyFill="1" applyBorder="1" applyAlignment="1">
      <alignment horizontal="center" vertical="center"/>
    </xf>
    <xf numFmtId="0" fontId="47" fillId="0" borderId="0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Continuous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Continuous" vertical="center" wrapText="1"/>
    </xf>
    <xf numFmtId="9" fontId="3" fillId="0" borderId="10" xfId="0" applyNumberFormat="1" applyFont="1" applyBorder="1" applyAlignment="1">
      <alignment horizontal="center" vertical="center"/>
    </xf>
    <xf numFmtId="9" fontId="3" fillId="0" borderId="36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213" fontId="8" fillId="0" borderId="10" xfId="0" applyNumberFormat="1" applyFont="1" applyBorder="1" applyAlignment="1">
      <alignment horizontal="center" vertical="center"/>
    </xf>
    <xf numFmtId="213" fontId="8" fillId="2" borderId="10" xfId="0" applyNumberFormat="1" applyFont="1" applyFill="1" applyBorder="1" applyAlignment="1">
      <alignment horizontal="center" vertical="center"/>
    </xf>
    <xf numFmtId="213" fontId="8" fillId="0" borderId="24" xfId="0" applyNumberFormat="1" applyFont="1" applyBorder="1" applyAlignment="1">
      <alignment horizontal="center" vertical="center"/>
    </xf>
    <xf numFmtId="218" fontId="1" fillId="2" borderId="6" xfId="0" applyNumberFormat="1" applyFont="1" applyFill="1" applyBorder="1" applyAlignment="1">
      <alignment horizontal="center" vertical="center"/>
    </xf>
    <xf numFmtId="213" fontId="1" fillId="0" borderId="21" xfId="0" applyNumberFormat="1" applyFont="1" applyBorder="1" applyAlignment="1">
      <alignment horizontal="center" vertical="center"/>
    </xf>
    <xf numFmtId="9" fontId="3" fillId="0" borderId="65" xfId="0" applyNumberFormat="1" applyFont="1" applyBorder="1" applyAlignment="1">
      <alignment horizontal="center" vertical="center"/>
    </xf>
    <xf numFmtId="213" fontId="1" fillId="2" borderId="65" xfId="0" applyNumberFormat="1" applyFont="1" applyFill="1" applyBorder="1" applyAlignment="1">
      <alignment horizontal="center" vertical="center"/>
    </xf>
    <xf numFmtId="9" fontId="3" fillId="0" borderId="66" xfId="0" applyNumberFormat="1" applyFont="1" applyBorder="1" applyAlignment="1">
      <alignment horizontal="center" vertical="center"/>
    </xf>
    <xf numFmtId="3" fontId="1" fillId="0" borderId="34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9" fontId="3" fillId="11" borderId="36" xfId="0" applyNumberFormat="1" applyFont="1" applyFill="1" applyBorder="1" applyAlignment="1">
      <alignment horizontal="center" vertical="center"/>
    </xf>
    <xf numFmtId="9" fontId="3" fillId="0" borderId="24" xfId="0" applyNumberFormat="1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Continuous" vertical="center"/>
    </xf>
    <xf numFmtId="0" fontId="39" fillId="0" borderId="6" xfId="0" applyFont="1" applyBorder="1" applyAlignment="1">
      <alignment horizontal="centerContinuous" vertical="center"/>
    </xf>
    <xf numFmtId="0" fontId="39" fillId="0" borderId="6" xfId="0" applyFont="1" applyBorder="1" applyAlignment="1">
      <alignment horizontal="center" vertical="center"/>
    </xf>
    <xf numFmtId="3" fontId="39" fillId="0" borderId="6" xfId="0" applyNumberFormat="1" applyFont="1" applyBorder="1" applyAlignment="1">
      <alignment horizontal="center" vertical="center"/>
    </xf>
    <xf numFmtId="0" fontId="39" fillId="2" borderId="6" xfId="0" applyFont="1" applyFill="1" applyBorder="1" applyAlignment="1">
      <alignment horizontal="center" vertical="center"/>
    </xf>
    <xf numFmtId="3" fontId="39" fillId="2" borderId="6" xfId="0" applyNumberFormat="1" applyFont="1" applyFill="1" applyBorder="1" applyAlignment="1">
      <alignment horizontal="center" vertical="center"/>
    </xf>
    <xf numFmtId="186" fontId="39" fillId="0" borderId="6" xfId="0" applyNumberFormat="1" applyFont="1" applyBorder="1" applyAlignment="1">
      <alignment horizontal="center" vertical="center"/>
    </xf>
    <xf numFmtId="219" fontId="1" fillId="2" borderId="36" xfId="0" applyNumberFormat="1" applyFont="1" applyFill="1" applyBorder="1" applyAlignment="1">
      <alignment horizontal="center" vertical="top" shrinkToFit="1"/>
    </xf>
    <xf numFmtId="219" fontId="1" fillId="2" borderId="24" xfId="0" applyNumberFormat="1" applyFont="1" applyFill="1" applyBorder="1" applyAlignment="1">
      <alignment horizontal="center" vertical="top" shrinkToFit="1"/>
    </xf>
    <xf numFmtId="3" fontId="8" fillId="0" borderId="0" xfId="0" applyNumberFormat="1" applyFont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  <xf numFmtId="202" fontId="37" fillId="0" borderId="0" xfId="0" applyNumberFormat="1" applyFont="1" applyBorder="1" applyAlignment="1">
      <alignment horizontal="center" vertical="center"/>
    </xf>
    <xf numFmtId="201" fontId="37" fillId="0" borderId="0" xfId="0" applyNumberFormat="1" applyFont="1" applyBorder="1" applyAlignment="1">
      <alignment horizontal="center" vertical="center"/>
    </xf>
    <xf numFmtId="184" fontId="37" fillId="0" borderId="0" xfId="0" applyNumberFormat="1" applyFont="1" applyBorder="1" applyAlignment="1">
      <alignment horizontal="center" vertical="center"/>
    </xf>
    <xf numFmtId="201" fontId="37" fillId="0" borderId="0" xfId="0" applyNumberFormat="1" applyFont="1" applyFill="1" applyBorder="1" applyAlignment="1">
      <alignment horizontal="center" vertical="center"/>
    </xf>
    <xf numFmtId="202" fontId="8" fillId="0" borderId="0" xfId="0" applyNumberFormat="1" applyFont="1" applyBorder="1" applyAlignment="1">
      <alignment horizontal="center" vertical="center"/>
    </xf>
    <xf numFmtId="208" fontId="35" fillId="0" borderId="0" xfId="0" applyNumberFormat="1" applyFont="1" applyBorder="1" applyAlignment="1">
      <alignment horizontal="center" vertical="center" shrinkToFit="1"/>
    </xf>
    <xf numFmtId="207" fontId="39" fillId="0" borderId="0" xfId="0" applyNumberFormat="1" applyFont="1" applyBorder="1" applyAlignment="1">
      <alignment horizontal="centerContinuous" vertical="center"/>
    </xf>
    <xf numFmtId="183" fontId="39" fillId="0" borderId="0" xfId="0" applyNumberFormat="1" applyFont="1" applyBorder="1" applyAlignment="1">
      <alignment horizontal="centerContinuous" vertical="center"/>
    </xf>
    <xf numFmtId="183" fontId="40" fillId="0" borderId="0" xfId="0" applyNumberFormat="1" applyFont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center"/>
    </xf>
    <xf numFmtId="9" fontId="8" fillId="0" borderId="5" xfId="0" applyNumberFormat="1" applyFont="1" applyFill="1" applyBorder="1" applyAlignment="1">
      <alignment horizontal="center" vertical="center"/>
    </xf>
    <xf numFmtId="9" fontId="8" fillId="0" borderId="5" xfId="0" quotePrefix="1" applyNumberFormat="1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Continuous" vertical="center"/>
    </xf>
    <xf numFmtId="0" fontId="8" fillId="2" borderId="48" xfId="0" applyFont="1" applyFill="1" applyBorder="1" applyAlignment="1">
      <alignment horizontal="centerContinuous" vertical="center"/>
    </xf>
    <xf numFmtId="0" fontId="8" fillId="2" borderId="22" xfId="0" applyFont="1" applyFill="1" applyBorder="1" applyAlignment="1">
      <alignment horizontal="centerContinuous" vertical="center"/>
    </xf>
    <xf numFmtId="9" fontId="8" fillId="0" borderId="19" xfId="0" applyNumberFormat="1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left" vertical="center"/>
    </xf>
    <xf numFmtId="0" fontId="10" fillId="0" borderId="30" xfId="0" applyFont="1" applyFill="1" applyBorder="1">
      <alignment vertical="center"/>
    </xf>
    <xf numFmtId="3" fontId="8" fillId="0" borderId="40" xfId="0" applyNumberFormat="1" applyFont="1" applyFill="1" applyBorder="1" applyAlignment="1">
      <alignment horizontal="centerContinuous" vertical="center"/>
    </xf>
    <xf numFmtId="3" fontId="8" fillId="0" borderId="2" xfId="0" applyNumberFormat="1" applyFont="1" applyFill="1" applyBorder="1" applyAlignment="1">
      <alignment horizontal="centerContinuous" vertical="center"/>
    </xf>
    <xf numFmtId="9" fontId="10" fillId="2" borderId="20" xfId="0" applyNumberFormat="1" applyFont="1" applyFill="1" applyBorder="1" applyAlignment="1">
      <alignment horizontal="center" vertical="center"/>
    </xf>
    <xf numFmtId="9" fontId="20" fillId="2" borderId="71" xfId="0" applyNumberFormat="1" applyFont="1" applyFill="1" applyBorder="1" applyAlignment="1">
      <alignment horizontal="center" vertical="center"/>
    </xf>
    <xf numFmtId="9" fontId="8" fillId="2" borderId="73" xfId="0" applyNumberFormat="1" applyFont="1" applyFill="1" applyBorder="1" applyAlignment="1">
      <alignment horizontal="center" vertical="center"/>
    </xf>
    <xf numFmtId="9" fontId="20" fillId="2" borderId="4" xfId="0" applyNumberFormat="1" applyFont="1" applyFill="1" applyBorder="1" applyAlignment="1">
      <alignment horizontal="center" vertical="center"/>
    </xf>
    <xf numFmtId="9" fontId="8" fillId="2" borderId="4" xfId="0" applyNumberFormat="1" applyFont="1" applyFill="1" applyBorder="1" applyAlignment="1">
      <alignment horizontal="center" vertical="center"/>
    </xf>
    <xf numFmtId="3" fontId="8" fillId="0" borderId="74" xfId="0" applyNumberFormat="1" applyFont="1" applyFill="1" applyBorder="1" applyAlignment="1">
      <alignment horizontal="centerContinuous" vertical="center"/>
    </xf>
    <xf numFmtId="3" fontId="8" fillId="2" borderId="73" xfId="0" applyNumberFormat="1" applyFont="1" applyFill="1" applyBorder="1" applyAlignment="1">
      <alignment horizontal="centerContinuous" vertical="center"/>
    </xf>
    <xf numFmtId="3" fontId="8" fillId="0" borderId="0" xfId="0" applyNumberFormat="1" applyFont="1" applyFill="1" applyBorder="1" applyAlignment="1">
      <alignment horizontal="centerContinuous" vertical="center"/>
    </xf>
    <xf numFmtId="3" fontId="8" fillId="0" borderId="4" xfId="0" applyNumberFormat="1" applyFont="1" applyFill="1" applyBorder="1" applyAlignment="1">
      <alignment horizontal="centerContinuous" vertical="center"/>
    </xf>
    <xf numFmtId="207" fontId="39" fillId="0" borderId="35" xfId="0" applyNumberFormat="1" applyFont="1" applyBorder="1" applyAlignment="1">
      <alignment horizontal="centerContinuous" vertical="center"/>
    </xf>
    <xf numFmtId="183" fontId="39" fillId="0" borderId="35" xfId="0" applyNumberFormat="1" applyFont="1" applyBorder="1" applyAlignment="1">
      <alignment horizontal="centerContinuous" vertical="center"/>
    </xf>
    <xf numFmtId="207" fontId="39" fillId="0" borderId="16" xfId="0" applyNumberFormat="1" applyFont="1" applyBorder="1" applyAlignment="1">
      <alignment horizontal="centerContinuous" vertical="center"/>
    </xf>
    <xf numFmtId="0" fontId="39" fillId="0" borderId="35" xfId="0" applyFont="1" applyBorder="1" applyAlignment="1">
      <alignment horizontal="centerContinuous" vertical="center"/>
    </xf>
    <xf numFmtId="183" fontId="40" fillId="0" borderId="16" xfId="0" applyNumberFormat="1" applyFont="1" applyBorder="1" applyAlignment="1">
      <alignment horizontal="centerContinuous" vertical="center"/>
    </xf>
    <xf numFmtId="0" fontId="50" fillId="11" borderId="4" xfId="0" applyFont="1" applyFill="1" applyBorder="1" applyAlignment="1">
      <alignment horizontal="center" vertical="center"/>
    </xf>
    <xf numFmtId="0" fontId="51" fillId="11" borderId="5" xfId="0" applyFont="1" applyFill="1" applyBorder="1" applyAlignment="1">
      <alignment horizontal="centerContinuous" vertical="center" wrapText="1"/>
    </xf>
    <xf numFmtId="3" fontId="51" fillId="11" borderId="5" xfId="0" applyNumberFormat="1" applyFont="1" applyFill="1" applyBorder="1" applyAlignment="1">
      <alignment horizontal="centerContinuous" vertical="center"/>
    </xf>
    <xf numFmtId="3" fontId="37" fillId="11" borderId="5" xfId="0" applyNumberFormat="1" applyFont="1" applyFill="1" applyBorder="1" applyAlignment="1">
      <alignment horizontal="centerContinuous" vertical="center"/>
    </xf>
    <xf numFmtId="182" fontId="35" fillId="0" borderId="7" xfId="0" applyNumberFormat="1" applyFont="1" applyBorder="1" applyAlignment="1">
      <alignment horizontal="center" vertical="center"/>
    </xf>
    <xf numFmtId="182" fontId="35" fillId="0" borderId="8" xfId="0" applyNumberFormat="1" applyFont="1" applyBorder="1" applyAlignment="1">
      <alignment horizontal="center" vertical="center"/>
    </xf>
    <xf numFmtId="0" fontId="54" fillId="2" borderId="3" xfId="0" applyFont="1" applyFill="1" applyBorder="1" applyAlignment="1">
      <alignment horizontal="center" vertical="center"/>
    </xf>
    <xf numFmtId="0" fontId="54" fillId="2" borderId="5" xfId="0" applyFont="1" applyFill="1" applyBorder="1" applyAlignment="1">
      <alignment horizontal="left" vertical="center"/>
    </xf>
    <xf numFmtId="0" fontId="53" fillId="0" borderId="5" xfId="0" applyFont="1" applyFill="1" applyBorder="1" applyAlignment="1">
      <alignment horizontal="left" vertical="center"/>
    </xf>
    <xf numFmtId="0" fontId="54" fillId="0" borderId="5" xfId="0" applyFont="1" applyFill="1" applyBorder="1" applyAlignment="1">
      <alignment horizontal="left" vertical="center"/>
    </xf>
    <xf numFmtId="182" fontId="51" fillId="11" borderId="5" xfId="0" applyNumberFormat="1" applyFont="1" applyFill="1" applyBorder="1" applyAlignment="1">
      <alignment horizontal="centerContinuous" vertical="center"/>
    </xf>
    <xf numFmtId="208" fontId="35" fillId="0" borderId="0" xfId="0" applyNumberFormat="1" applyFont="1" applyBorder="1" applyAlignment="1">
      <alignment horizontal="right" shrinkToFit="1"/>
    </xf>
    <xf numFmtId="208" fontId="55" fillId="0" borderId="8" xfId="0" applyNumberFormat="1" applyFont="1" applyBorder="1" applyAlignment="1">
      <alignment horizontal="center" vertical="center" shrinkToFit="1"/>
    </xf>
    <xf numFmtId="208" fontId="55" fillId="0" borderId="16" xfId="0" applyNumberFormat="1" applyFont="1" applyBorder="1" applyAlignment="1">
      <alignment horizontal="center" vertical="center" shrinkToFit="1"/>
    </xf>
    <xf numFmtId="0" fontId="32" fillId="16" borderId="12" xfId="0" applyFont="1" applyFill="1" applyBorder="1" applyAlignment="1">
      <alignment horizontal="centerContinuous" vertical="center" wrapText="1"/>
    </xf>
    <xf numFmtId="0" fontId="30" fillId="2" borderId="11" xfId="0" applyFont="1" applyFill="1" applyBorder="1" applyAlignment="1">
      <alignment horizontal="center" vertical="center"/>
    </xf>
    <xf numFmtId="0" fontId="37" fillId="2" borderId="6" xfId="0" applyFont="1" applyFill="1" applyBorder="1" applyAlignment="1">
      <alignment horizontal="centerContinuous" vertical="center" wrapText="1"/>
    </xf>
    <xf numFmtId="201" fontId="37" fillId="2" borderId="6" xfId="0" applyNumberFormat="1" applyFont="1" applyFill="1" applyBorder="1" applyAlignment="1">
      <alignment horizontal="centerContinuous" vertical="center" wrapText="1"/>
    </xf>
    <xf numFmtId="184" fontId="37" fillId="2" borderId="6" xfId="0" applyNumberFormat="1" applyFont="1" applyFill="1" applyBorder="1" applyAlignment="1">
      <alignment horizontal="centerContinuous" vertical="center"/>
    </xf>
    <xf numFmtId="202" fontId="37" fillId="2" borderId="6" xfId="0" applyNumberFormat="1" applyFont="1" applyFill="1" applyBorder="1" applyAlignment="1">
      <alignment horizontal="centerContinuous" vertical="center" wrapText="1"/>
    </xf>
    <xf numFmtId="202" fontId="37" fillId="2" borderId="12" xfId="0" applyNumberFormat="1" applyFont="1" applyFill="1" applyBorder="1" applyAlignment="1">
      <alignment horizontal="centerContinuous" vertical="center"/>
    </xf>
    <xf numFmtId="0" fontId="11" fillId="6" borderId="0" xfId="0" applyFont="1" applyFill="1" applyBorder="1" applyAlignment="1">
      <alignment horizontal="centerContinuous"/>
    </xf>
    <xf numFmtId="0" fontId="17" fillId="6" borderId="0" xfId="0" applyFont="1" applyFill="1" applyBorder="1" applyAlignment="1">
      <alignment horizontal="centerContinuous" vertical="top"/>
    </xf>
    <xf numFmtId="183" fontId="33" fillId="0" borderId="8" xfId="0" applyNumberFormat="1" applyFont="1" applyBorder="1" applyAlignment="1">
      <alignment horizontal="center" vertical="center"/>
    </xf>
    <xf numFmtId="183" fontId="33" fillId="0" borderId="16" xfId="0" applyNumberFormat="1" applyFont="1" applyBorder="1" applyAlignment="1">
      <alignment horizontal="center" vertical="center"/>
    </xf>
    <xf numFmtId="202" fontId="56" fillId="0" borderId="15" xfId="0" applyNumberFormat="1" applyFont="1" applyBorder="1" applyAlignment="1">
      <alignment horizontal="center" vertical="center"/>
    </xf>
    <xf numFmtId="9" fontId="57" fillId="17" borderId="72" xfId="0" applyNumberFormat="1" applyFont="1" applyFill="1" applyBorder="1" applyAlignment="1">
      <alignment horizontal="center" vertical="center"/>
    </xf>
    <xf numFmtId="9" fontId="57" fillId="17" borderId="0" xfId="0" applyNumberFormat="1" applyFont="1" applyFill="1" applyBorder="1" applyAlignment="1">
      <alignment horizontal="center" vertical="center"/>
    </xf>
    <xf numFmtId="9" fontId="44" fillId="0" borderId="0" xfId="0" applyNumberFormat="1" applyFont="1" applyFill="1" applyBorder="1" applyAlignment="1">
      <alignment horizontal="center" vertical="center"/>
    </xf>
    <xf numFmtId="9" fontId="44" fillId="0" borderId="74" xfId="0" applyNumberFormat="1" applyFont="1" applyFill="1" applyBorder="1" applyAlignment="1">
      <alignment horizontal="center" vertical="center"/>
    </xf>
    <xf numFmtId="9" fontId="44" fillId="0" borderId="72" xfId="0" applyNumberFormat="1" applyFont="1" applyFill="1" applyBorder="1" applyAlignment="1">
      <alignment horizontal="center" vertical="center"/>
    </xf>
    <xf numFmtId="0" fontId="60" fillId="0" borderId="0" xfId="0" applyFont="1" applyFill="1" applyBorder="1">
      <alignment vertical="center"/>
    </xf>
    <xf numFmtId="0" fontId="61" fillId="0" borderId="0" xfId="0" applyFont="1" applyBorder="1" applyAlignment="1">
      <alignment horizontal="left" vertical="center" indent="3"/>
    </xf>
    <xf numFmtId="0" fontId="61" fillId="0" borderId="0" xfId="0" applyFont="1" applyBorder="1" applyAlignment="1">
      <alignment vertical="center"/>
    </xf>
    <xf numFmtId="220" fontId="59" fillId="17" borderId="72" xfId="0" applyNumberFormat="1" applyFont="1" applyFill="1" applyBorder="1" applyAlignment="1">
      <alignment horizontal="center" vertical="center"/>
    </xf>
    <xf numFmtId="220" fontId="58" fillId="0" borderId="70" xfId="0" applyNumberFormat="1" applyFont="1" applyFill="1" applyBorder="1" applyAlignment="1">
      <alignment horizontal="center" vertical="center"/>
    </xf>
    <xf numFmtId="220" fontId="58" fillId="0" borderId="69" xfId="0" applyNumberFormat="1" applyFont="1" applyFill="1" applyBorder="1" applyAlignment="1">
      <alignment horizontal="center" vertical="center"/>
    </xf>
    <xf numFmtId="221" fontId="63" fillId="0" borderId="70" xfId="0" applyNumberFormat="1" applyFont="1" applyFill="1" applyBorder="1" applyAlignment="1">
      <alignment horizontal="center" vertical="center"/>
    </xf>
    <xf numFmtId="221" fontId="58" fillId="17" borderId="70" xfId="0" applyNumberFormat="1" applyFont="1" applyFill="1" applyBorder="1" applyAlignment="1">
      <alignment horizontal="center" vertical="center"/>
    </xf>
    <xf numFmtId="222" fontId="8" fillId="0" borderId="0" xfId="0" applyNumberFormat="1" applyFont="1">
      <alignment vertical="center"/>
    </xf>
    <xf numFmtId="0" fontId="64" fillId="0" borderId="0" xfId="0" applyFont="1" applyBorder="1" applyAlignment="1">
      <alignment horizontal="left" vertical="center"/>
    </xf>
    <xf numFmtId="3" fontId="8" fillId="0" borderId="72" xfId="0" applyNumberFormat="1" applyFont="1" applyFill="1" applyBorder="1" applyAlignment="1">
      <alignment horizontal="center" vertical="center"/>
    </xf>
    <xf numFmtId="3" fontId="8" fillId="0" borderId="71" xfId="0" applyNumberFormat="1" applyFont="1" applyFill="1" applyBorder="1" applyAlignment="1">
      <alignment horizontal="centerContinuous" vertical="center"/>
    </xf>
    <xf numFmtId="3" fontId="8" fillId="0" borderId="0" xfId="0" applyNumberFormat="1" applyFont="1" applyFill="1" applyBorder="1" applyAlignment="1">
      <alignment horizontal="center" vertical="center"/>
    </xf>
    <xf numFmtId="3" fontId="20" fillId="0" borderId="74" xfId="0" applyNumberFormat="1" applyFont="1" applyFill="1" applyBorder="1" applyAlignment="1">
      <alignment horizontal="center" vertical="center"/>
    </xf>
    <xf numFmtId="3" fontId="20" fillId="0" borderId="73" xfId="0" applyNumberFormat="1" applyFont="1" applyFill="1" applyBorder="1" applyAlignment="1">
      <alignment horizontal="centerContinuous" vertical="center"/>
    </xf>
    <xf numFmtId="0" fontId="8" fillId="0" borderId="74" xfId="0" applyFont="1" applyFill="1" applyBorder="1" applyAlignment="1">
      <alignment horizontal="center" vertical="center"/>
    </xf>
    <xf numFmtId="197" fontId="8" fillId="0" borderId="72" xfId="0" applyNumberFormat="1" applyFont="1" applyBorder="1" applyAlignment="1">
      <alignment horizontal="center" vertical="center"/>
    </xf>
    <xf numFmtId="197" fontId="8" fillId="0" borderId="0" xfId="0" applyNumberFormat="1" applyFont="1" applyBorder="1" applyAlignment="1">
      <alignment horizontal="center" vertical="center"/>
    </xf>
    <xf numFmtId="197" fontId="20" fillId="0" borderId="74" xfId="0" applyNumberFormat="1" applyFont="1" applyBorder="1" applyAlignment="1">
      <alignment horizontal="center" vertical="center"/>
    </xf>
    <xf numFmtId="197" fontId="58" fillId="0" borderId="72" xfId="0" applyNumberFormat="1" applyFont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65" fillId="0" borderId="30" xfId="0" applyFont="1" applyFill="1" applyBorder="1" applyAlignment="1">
      <alignment horizontal="center" vertical="center"/>
    </xf>
    <xf numFmtId="0" fontId="8" fillId="2" borderId="77" xfId="0" applyFont="1" applyFill="1" applyBorder="1" applyAlignment="1">
      <alignment horizontal="center" vertical="center"/>
    </xf>
    <xf numFmtId="0" fontId="8" fillId="2" borderId="78" xfId="0" applyFont="1" applyFill="1" applyBorder="1" applyAlignment="1">
      <alignment horizontal="center" vertical="center"/>
    </xf>
    <xf numFmtId="3" fontId="8" fillId="0" borderId="79" xfId="0" applyNumberFormat="1" applyFont="1" applyFill="1" applyBorder="1" applyAlignment="1">
      <alignment horizontal="center" vertical="center"/>
    </xf>
    <xf numFmtId="3" fontId="8" fillId="0" borderId="77" xfId="0" applyNumberFormat="1" applyFont="1" applyFill="1" applyBorder="1" applyAlignment="1">
      <alignment horizontal="center" vertical="center"/>
    </xf>
    <xf numFmtId="3" fontId="20" fillId="0" borderId="78" xfId="0" applyNumberFormat="1" applyFont="1" applyFill="1" applyBorder="1" applyAlignment="1">
      <alignment horizontal="center" vertical="center"/>
    </xf>
    <xf numFmtId="9" fontId="20" fillId="0" borderId="78" xfId="0" applyNumberFormat="1" applyFont="1" applyFill="1" applyBorder="1" applyAlignment="1">
      <alignment horizontal="center" vertical="center"/>
    </xf>
    <xf numFmtId="220" fontId="59" fillId="0" borderId="79" xfId="0" applyNumberFormat="1" applyFont="1" applyFill="1" applyBorder="1" applyAlignment="1">
      <alignment horizontal="center" vertical="center"/>
    </xf>
    <xf numFmtId="221" fontId="59" fillId="0" borderId="79" xfId="0" applyNumberFormat="1" applyFont="1" applyFill="1" applyBorder="1" applyAlignment="1">
      <alignment horizontal="center" vertical="center"/>
    </xf>
    <xf numFmtId="223" fontId="0" fillId="11" borderId="16" xfId="0" applyNumberFormat="1" applyFill="1" applyBorder="1" applyAlignment="1">
      <alignment horizontal="center" vertical="center" shrinkToFit="1"/>
    </xf>
    <xf numFmtId="224" fontId="0" fillId="11" borderId="21" xfId="0" applyNumberFormat="1" applyFill="1" applyBorder="1" applyAlignment="1">
      <alignment horizontal="center" vertical="center" shrinkToFit="1"/>
    </xf>
    <xf numFmtId="9" fontId="66" fillId="0" borderId="79" xfId="0" applyNumberFormat="1" applyFont="1" applyFill="1" applyBorder="1" applyAlignment="1">
      <alignment horizontal="center" vertical="center"/>
    </xf>
    <xf numFmtId="9" fontId="66" fillId="0" borderId="77" xfId="0" applyNumberFormat="1" applyFont="1" applyFill="1" applyBorder="1" applyAlignment="1">
      <alignment horizontal="center" vertical="center"/>
    </xf>
    <xf numFmtId="0" fontId="67" fillId="0" borderId="0" xfId="0" applyFont="1" applyBorder="1" applyAlignment="1">
      <alignment horizontal="right" vertical="center" shrinkToFit="1"/>
    </xf>
    <xf numFmtId="0" fontId="68" fillId="0" borderId="34" xfId="0" applyFont="1" applyFill="1" applyBorder="1" applyAlignment="1">
      <alignment horizontal="center" vertical="center"/>
    </xf>
    <xf numFmtId="0" fontId="68" fillId="0" borderId="21" xfId="0" applyFont="1" applyFill="1" applyBorder="1" applyAlignment="1">
      <alignment horizontal="center" vertical="center"/>
    </xf>
    <xf numFmtId="3" fontId="69" fillId="0" borderId="30" xfId="0" applyNumberFormat="1" applyFont="1" applyFill="1" applyBorder="1" applyAlignment="1">
      <alignment horizontal="center" vertical="center"/>
    </xf>
    <xf numFmtId="0" fontId="8" fillId="17" borderId="0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182" fontId="8" fillId="0" borderId="27" xfId="0" applyNumberFormat="1" applyFont="1" applyBorder="1" applyAlignment="1">
      <alignment horizontal="center" vertical="center"/>
    </xf>
    <xf numFmtId="183" fontId="8" fillId="0" borderId="0" xfId="0" applyNumberFormat="1" applyFont="1" applyBorder="1" applyAlignment="1">
      <alignment horizontal="center" vertical="center"/>
    </xf>
    <xf numFmtId="183" fontId="10" fillId="0" borderId="0" xfId="0" applyNumberFormat="1" applyFont="1" applyBorder="1" applyAlignment="1">
      <alignment horizontal="center" vertical="center"/>
    </xf>
    <xf numFmtId="209" fontId="10" fillId="0" borderId="35" xfId="0" applyNumberFormat="1" applyFont="1" applyBorder="1" applyAlignment="1">
      <alignment horizontal="center" vertical="center"/>
    </xf>
    <xf numFmtId="183" fontId="10" fillId="0" borderId="19" xfId="0" applyNumberFormat="1" applyFont="1" applyBorder="1" applyAlignment="1">
      <alignment horizontal="center" vertical="center"/>
    </xf>
    <xf numFmtId="209" fontId="10" fillId="0" borderId="19" xfId="0" applyNumberFormat="1" applyFont="1" applyBorder="1" applyAlignment="1">
      <alignment horizontal="center" vertical="center"/>
    </xf>
    <xf numFmtId="209" fontId="10" fillId="0" borderId="16" xfId="0" applyNumberFormat="1" applyFont="1" applyBorder="1" applyAlignment="1">
      <alignment horizontal="center" vertical="center"/>
    </xf>
    <xf numFmtId="209" fontId="10" fillId="0" borderId="4" xfId="0" applyNumberFormat="1" applyFont="1" applyBorder="1" applyAlignment="1">
      <alignment horizontal="center" vertical="center"/>
    </xf>
    <xf numFmtId="0" fontId="8" fillId="7" borderId="81" xfId="0" applyFont="1" applyFill="1" applyBorder="1" applyAlignment="1">
      <alignment horizontal="center" vertical="center"/>
    </xf>
    <xf numFmtId="0" fontId="8" fillId="7" borderId="82" xfId="0" applyFont="1" applyFill="1" applyBorder="1" applyAlignment="1">
      <alignment horizontal="center" vertical="center"/>
    </xf>
    <xf numFmtId="182" fontId="8" fillId="0" borderId="83" xfId="0" applyNumberFormat="1" applyFont="1" applyBorder="1" applyAlignment="1">
      <alignment horizontal="center" vertical="center"/>
    </xf>
    <xf numFmtId="182" fontId="8" fillId="0" borderId="84" xfId="0" applyNumberFormat="1" applyFont="1" applyBorder="1" applyAlignment="1">
      <alignment horizontal="center" vertical="center"/>
    </xf>
    <xf numFmtId="183" fontId="8" fillId="0" borderId="85" xfId="0" applyNumberFormat="1" applyFont="1" applyBorder="1" applyAlignment="1">
      <alignment horizontal="center" vertical="center"/>
    </xf>
    <xf numFmtId="183" fontId="8" fillId="0" borderId="86" xfId="0" applyNumberFormat="1" applyFont="1" applyBorder="1" applyAlignment="1">
      <alignment horizontal="center" vertical="center"/>
    </xf>
    <xf numFmtId="183" fontId="10" fillId="0" borderId="85" xfId="0" applyNumberFormat="1" applyFont="1" applyBorder="1" applyAlignment="1">
      <alignment horizontal="center" vertical="center"/>
    </xf>
    <xf numFmtId="183" fontId="10" fillId="0" borderId="86" xfId="0" applyNumberFormat="1" applyFont="1" applyBorder="1" applyAlignment="1">
      <alignment horizontal="center" vertical="center"/>
    </xf>
    <xf numFmtId="209" fontId="10" fillId="0" borderId="85" xfId="0" applyNumberFormat="1" applyFont="1" applyBorder="1" applyAlignment="1">
      <alignment horizontal="center" vertical="center"/>
    </xf>
    <xf numFmtId="209" fontId="10" fillId="0" borderId="86" xfId="0" applyNumberFormat="1" applyFont="1" applyBorder="1" applyAlignment="1">
      <alignment horizontal="center" vertical="center"/>
    </xf>
    <xf numFmtId="209" fontId="10" fillId="0" borderId="87" xfId="0" applyNumberFormat="1" applyFont="1" applyBorder="1" applyAlignment="1">
      <alignment horizontal="center" vertical="center"/>
    </xf>
    <xf numFmtId="209" fontId="10" fillId="0" borderId="88" xfId="0" applyNumberFormat="1" applyFont="1" applyBorder="1" applyAlignment="1">
      <alignment horizontal="center" vertical="center"/>
    </xf>
    <xf numFmtId="0" fontId="8" fillId="2" borderId="89" xfId="0" applyFont="1" applyFill="1" applyBorder="1" applyAlignment="1">
      <alignment horizontal="center" vertical="center"/>
    </xf>
    <xf numFmtId="182" fontId="8" fillId="0" borderId="90" xfId="0" applyNumberFormat="1" applyFont="1" applyBorder="1" applyAlignment="1">
      <alignment horizontal="center" vertical="center"/>
    </xf>
    <xf numFmtId="183" fontId="8" fillId="0" borderId="91" xfId="0" applyNumberFormat="1" applyFont="1" applyBorder="1" applyAlignment="1">
      <alignment horizontal="center" vertical="center"/>
    </xf>
    <xf numFmtId="183" fontId="10" fillId="0" borderId="91" xfId="0" applyNumberFormat="1" applyFont="1" applyBorder="1" applyAlignment="1">
      <alignment horizontal="center" vertical="center"/>
    </xf>
    <xf numFmtId="209" fontId="10" fillId="0" borderId="91" xfId="0" applyNumberFormat="1" applyFont="1" applyBorder="1" applyAlignment="1">
      <alignment horizontal="center" vertical="center"/>
    </xf>
    <xf numFmtId="209" fontId="10" fillId="0" borderId="92" xfId="0" applyNumberFormat="1" applyFont="1" applyBorder="1" applyAlignment="1">
      <alignment horizontal="center" vertical="center"/>
    </xf>
    <xf numFmtId="3" fontId="65" fillId="0" borderId="80" xfId="0" applyNumberFormat="1" applyFont="1" applyFill="1" applyBorder="1" applyAlignment="1">
      <alignment horizontal="center" vertical="center"/>
    </xf>
    <xf numFmtId="201" fontId="70" fillId="14" borderId="6" xfId="0" applyNumberFormat="1" applyFont="1" applyFill="1" applyBorder="1" applyAlignment="1">
      <alignment horizontal="centerContinuous" vertical="center" wrapText="1"/>
    </xf>
    <xf numFmtId="226" fontId="37" fillId="11" borderId="5" xfId="0" applyNumberFormat="1" applyFont="1" applyFill="1" applyBorder="1" applyAlignment="1">
      <alignment horizontal="centerContinuous" vertical="center"/>
    </xf>
    <xf numFmtId="3" fontId="55" fillId="14" borderId="5" xfId="0" applyNumberFormat="1" applyFont="1" applyFill="1" applyBorder="1" applyAlignment="1">
      <alignment horizontal="centerContinuous" vertical="center"/>
    </xf>
    <xf numFmtId="227" fontId="25" fillId="0" borderId="19" xfId="0" applyNumberFormat="1" applyFont="1" applyBorder="1" applyAlignment="1">
      <alignment horizontal="centerContinuous" vertical="center"/>
    </xf>
    <xf numFmtId="0" fontId="25" fillId="0" borderId="0" xfId="0" applyFont="1" applyBorder="1" applyAlignment="1">
      <alignment horizontal="centerContinuous" vertical="center"/>
    </xf>
    <xf numFmtId="0" fontId="10" fillId="0" borderId="4" xfId="0" applyFont="1" applyBorder="1" applyAlignment="1">
      <alignment horizontal="right" vertical="center"/>
    </xf>
    <xf numFmtId="9" fontId="10" fillId="0" borderId="5" xfId="0" applyNumberFormat="1" applyFont="1" applyBorder="1">
      <alignment vertical="center"/>
    </xf>
    <xf numFmtId="9" fontId="10" fillId="0" borderId="0" xfId="0" applyNumberFormat="1" applyFont="1" applyBorder="1">
      <alignment vertical="center"/>
    </xf>
    <xf numFmtId="0" fontId="10" fillId="0" borderId="93" xfId="0" applyFont="1" applyBorder="1" applyAlignment="1">
      <alignment horizontal="center" vertical="center"/>
    </xf>
    <xf numFmtId="3" fontId="15" fillId="0" borderId="94" xfId="0" applyNumberFormat="1" applyFont="1" applyBorder="1" applyAlignment="1">
      <alignment horizontal="center" vertical="center"/>
    </xf>
    <xf numFmtId="3" fontId="8" fillId="0" borderId="95" xfId="0" applyNumberFormat="1" applyFont="1" applyBorder="1" applyAlignment="1">
      <alignment horizontal="center" vertical="center"/>
    </xf>
    <xf numFmtId="3" fontId="8" fillId="0" borderId="96" xfId="0" applyNumberFormat="1" applyFont="1" applyBorder="1" applyAlignment="1">
      <alignment horizontal="center" vertical="center"/>
    </xf>
    <xf numFmtId="210" fontId="39" fillId="0" borderId="12" xfId="0" applyNumberFormat="1" applyFont="1" applyBorder="1" applyAlignment="1">
      <alignment horizontal="center" vertical="center"/>
    </xf>
    <xf numFmtId="0" fontId="35" fillId="2" borderId="6" xfId="0" applyFont="1" applyFill="1" applyBorder="1" applyAlignment="1">
      <alignment horizontal="centerContinuous" vertical="center"/>
    </xf>
    <xf numFmtId="0" fontId="17" fillId="14" borderId="12" xfId="0" applyFont="1" applyFill="1" applyBorder="1" applyAlignment="1">
      <alignment horizontal="centerContinuous" vertical="center" wrapText="1"/>
    </xf>
    <xf numFmtId="9" fontId="17" fillId="14" borderId="12" xfId="0" applyNumberFormat="1" applyFont="1" applyFill="1" applyBorder="1" applyAlignment="1">
      <alignment horizontal="centerContinuous" vertical="center" wrapText="1"/>
    </xf>
    <xf numFmtId="182" fontId="35" fillId="0" borderId="7" xfId="0" applyNumberFormat="1" applyFont="1" applyBorder="1" applyAlignment="1">
      <alignment horizontal="centerContinuous" vertical="center"/>
    </xf>
    <xf numFmtId="183" fontId="4" fillId="14" borderId="14" xfId="0" applyNumberFormat="1" applyFont="1" applyFill="1" applyBorder="1" applyAlignment="1">
      <alignment horizontal="centerContinuous" vertical="center"/>
    </xf>
    <xf numFmtId="182" fontId="35" fillId="0" borderId="8" xfId="0" applyNumberFormat="1" applyFont="1" applyBorder="1" applyAlignment="1">
      <alignment horizontal="centerContinuous" vertical="center"/>
    </xf>
    <xf numFmtId="183" fontId="33" fillId="0" borderId="8" xfId="0" applyNumberFormat="1" applyFont="1" applyBorder="1" applyAlignment="1">
      <alignment horizontal="centerContinuous" vertical="center"/>
    </xf>
    <xf numFmtId="183" fontId="33" fillId="0" borderId="16" xfId="0" applyNumberFormat="1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230" fontId="39" fillId="0" borderId="12" xfId="0" applyNumberFormat="1" applyFont="1" applyBorder="1" applyAlignment="1">
      <alignment horizontal="center" vertical="center"/>
    </xf>
    <xf numFmtId="0" fontId="74" fillId="0" borderId="0" xfId="0" applyFont="1" applyBorder="1">
      <alignment vertical="center"/>
    </xf>
    <xf numFmtId="0" fontId="74" fillId="0" borderId="0" xfId="0" applyFont="1">
      <alignment vertical="center"/>
    </xf>
    <xf numFmtId="3" fontId="74" fillId="0" borderId="0" xfId="0" applyNumberFormat="1" applyFont="1">
      <alignment vertical="center"/>
    </xf>
    <xf numFmtId="208" fontId="55" fillId="0" borderId="0" xfId="0" applyNumberFormat="1" applyFont="1" applyBorder="1" applyAlignment="1">
      <alignment horizontal="centerContinuous" vertical="center" shrinkToFit="1"/>
    </xf>
    <xf numFmtId="183" fontId="35" fillId="0" borderId="8" xfId="0" applyNumberFormat="1" applyFont="1" applyBorder="1" applyAlignment="1">
      <alignment horizontal="centerContinuous" vertical="center"/>
    </xf>
    <xf numFmtId="0" fontId="74" fillId="0" borderId="30" xfId="0" applyFont="1" applyBorder="1">
      <alignment vertical="center"/>
    </xf>
    <xf numFmtId="3" fontId="74" fillId="0" borderId="30" xfId="0" applyNumberFormat="1" applyFont="1" applyBorder="1">
      <alignment vertical="center"/>
    </xf>
    <xf numFmtId="0" fontId="74" fillId="0" borderId="40" xfId="0" applyFont="1" applyBorder="1">
      <alignment vertical="center"/>
    </xf>
    <xf numFmtId="0" fontId="75" fillId="0" borderId="30" xfId="0" applyFont="1" applyBorder="1" applyAlignment="1">
      <alignment horizontal="centerContinuous" vertical="center"/>
    </xf>
    <xf numFmtId="0" fontId="75" fillId="2" borderId="34" xfId="0" applyFont="1" applyFill="1" applyBorder="1" applyAlignment="1">
      <alignment horizontal="centerContinuous" vertical="center"/>
    </xf>
    <xf numFmtId="0" fontId="75" fillId="2" borderId="21" xfId="0" applyFont="1" applyFill="1" applyBorder="1" applyAlignment="1">
      <alignment horizontal="centerContinuous" vertical="center"/>
    </xf>
    <xf numFmtId="0" fontId="75" fillId="2" borderId="22" xfId="0" applyFont="1" applyFill="1" applyBorder="1" applyAlignment="1">
      <alignment horizontal="centerContinuous" vertical="center"/>
    </xf>
    <xf numFmtId="0" fontId="75" fillId="2" borderId="36" xfId="0" applyFont="1" applyFill="1" applyBorder="1" applyAlignment="1">
      <alignment horizontal="centerContinuous" vertical="center"/>
    </xf>
    <xf numFmtId="0" fontId="75" fillId="2" borderId="20" xfId="0" applyFont="1" applyFill="1" applyBorder="1" applyAlignment="1">
      <alignment horizontal="centerContinuous" vertical="center"/>
    </xf>
    <xf numFmtId="3" fontId="75" fillId="0" borderId="1" xfId="0" applyNumberFormat="1" applyFont="1" applyBorder="1" applyAlignment="1">
      <alignment horizontal="centerContinuous" vertical="center"/>
    </xf>
    <xf numFmtId="0" fontId="75" fillId="0" borderId="36" xfId="0" applyFont="1" applyBorder="1" applyAlignment="1">
      <alignment horizontal="centerContinuous" vertical="center"/>
    </xf>
    <xf numFmtId="0" fontId="75" fillId="0" borderId="0" xfId="0" applyFont="1" applyBorder="1">
      <alignment vertical="center"/>
    </xf>
    <xf numFmtId="0" fontId="75" fillId="0" borderId="0" xfId="0" applyFont="1">
      <alignment vertical="center"/>
    </xf>
    <xf numFmtId="3" fontId="75" fillId="0" borderId="37" xfId="0" applyNumberFormat="1" applyFont="1" applyBorder="1" applyAlignment="1">
      <alignment horizontal="centerContinuous" vertical="center"/>
    </xf>
    <xf numFmtId="3" fontId="75" fillId="0" borderId="2" xfId="0" applyNumberFormat="1" applyFont="1" applyBorder="1" applyAlignment="1">
      <alignment horizontal="centerContinuous" vertical="center"/>
    </xf>
    <xf numFmtId="3" fontId="75" fillId="0" borderId="19" xfId="0" applyNumberFormat="1" applyFont="1" applyBorder="1" applyAlignment="1">
      <alignment horizontal="centerContinuous" vertical="center"/>
    </xf>
    <xf numFmtId="3" fontId="75" fillId="0" borderId="4" xfId="0" applyNumberFormat="1" applyFont="1" applyBorder="1" applyAlignment="1">
      <alignment horizontal="centerContinuous" vertical="center"/>
    </xf>
    <xf numFmtId="3" fontId="75" fillId="0" borderId="21" xfId="0" applyNumberFormat="1" applyFont="1" applyBorder="1" applyAlignment="1">
      <alignment horizontal="centerContinuous" vertical="center"/>
    </xf>
    <xf numFmtId="3" fontId="75" fillId="0" borderId="20" xfId="0" applyNumberFormat="1" applyFont="1" applyBorder="1" applyAlignment="1">
      <alignment horizontal="centerContinuous" vertical="center"/>
    </xf>
    <xf numFmtId="197" fontId="75" fillId="0" borderId="3" xfId="0" applyNumberFormat="1" applyFont="1" applyBorder="1" applyAlignment="1">
      <alignment horizontal="centerContinuous" vertical="center"/>
    </xf>
    <xf numFmtId="197" fontId="75" fillId="0" borderId="5" xfId="0" applyNumberFormat="1" applyFont="1" applyBorder="1" applyAlignment="1">
      <alignment horizontal="centerContinuous" vertical="center"/>
    </xf>
    <xf numFmtId="197" fontId="75" fillId="0" borderId="34" xfId="0" applyNumberFormat="1" applyFont="1" applyBorder="1" applyAlignment="1">
      <alignment horizontal="centerContinuous" vertical="center"/>
    </xf>
    <xf numFmtId="0" fontId="75" fillId="0" borderId="30" xfId="0" applyFont="1" applyBorder="1" applyAlignment="1">
      <alignment horizontal="right"/>
    </xf>
    <xf numFmtId="230" fontId="39" fillId="0" borderId="102" xfId="0" applyNumberFormat="1" applyFont="1" applyBorder="1" applyAlignment="1">
      <alignment horizontal="center" vertical="center"/>
    </xf>
    <xf numFmtId="0" fontId="76" fillId="0" borderId="0" xfId="0" quotePrefix="1" applyFont="1" applyAlignment="1">
      <alignment horizontal="centerContinuous"/>
    </xf>
    <xf numFmtId="0" fontId="75" fillId="0" borderId="37" xfId="0" applyFont="1" applyBorder="1" applyAlignment="1">
      <alignment horizontal="centerContinuous" vertical="center"/>
    </xf>
    <xf numFmtId="0" fontId="75" fillId="0" borderId="19" xfId="0" applyFont="1" applyBorder="1" applyAlignment="1">
      <alignment horizontal="centerContinuous" vertical="center"/>
    </xf>
    <xf numFmtId="0" fontId="75" fillId="0" borderId="21" xfId="0" applyFont="1" applyBorder="1" applyAlignment="1">
      <alignment horizontal="centerContinuous" vertical="center"/>
    </xf>
    <xf numFmtId="0" fontId="75" fillId="2" borderId="48" xfId="0" applyFont="1" applyFill="1" applyBorder="1" applyAlignment="1">
      <alignment horizontal="centerContinuous" vertical="center"/>
    </xf>
    <xf numFmtId="3" fontId="75" fillId="0" borderId="40" xfId="0" applyNumberFormat="1" applyFont="1" applyBorder="1" applyAlignment="1">
      <alignment horizontal="centerContinuous" vertical="center"/>
    </xf>
    <xf numFmtId="3" fontId="75" fillId="0" borderId="0" xfId="0" applyNumberFormat="1" applyFont="1" applyBorder="1" applyAlignment="1">
      <alignment horizontal="centerContinuous" vertical="center"/>
    </xf>
    <xf numFmtId="3" fontId="75" fillId="0" borderId="30" xfId="0" applyNumberFormat="1" applyFont="1" applyBorder="1" applyAlignment="1">
      <alignment horizontal="centerContinuous" vertical="center"/>
    </xf>
    <xf numFmtId="0" fontId="75" fillId="0" borderId="0" xfId="0" applyFont="1" applyBorder="1" applyAlignment="1">
      <alignment horizontal="centerContinuous" vertical="center"/>
    </xf>
    <xf numFmtId="0" fontId="55" fillId="19" borderId="103" xfId="0" applyFont="1" applyFill="1" applyBorder="1" applyAlignment="1">
      <alignment horizontal="centerContinuous" vertical="center"/>
    </xf>
    <xf numFmtId="0" fontId="55" fillId="19" borderId="104" xfId="0" applyFont="1" applyFill="1" applyBorder="1" applyAlignment="1">
      <alignment horizontal="centerContinuous" vertical="center"/>
    </xf>
    <xf numFmtId="3" fontId="55" fillId="20" borderId="105" xfId="0" applyNumberFormat="1" applyFont="1" applyFill="1" applyBorder="1" applyAlignment="1">
      <alignment horizontal="centerContinuous" vertical="center"/>
    </xf>
    <xf numFmtId="3" fontId="55" fillId="20" borderId="106" xfId="0" applyNumberFormat="1" applyFont="1" applyFill="1" applyBorder="1" applyAlignment="1">
      <alignment horizontal="centerContinuous" vertical="center"/>
    </xf>
    <xf numFmtId="3" fontId="55" fillId="20" borderId="107" xfId="0" applyNumberFormat="1" applyFont="1" applyFill="1" applyBorder="1" applyAlignment="1">
      <alignment horizontal="centerContinuous" vertical="center"/>
    </xf>
    <xf numFmtId="3" fontId="55" fillId="20" borderId="108" xfId="0" applyNumberFormat="1" applyFont="1" applyFill="1" applyBorder="1" applyAlignment="1">
      <alignment horizontal="centerContinuous" vertical="center"/>
    </xf>
    <xf numFmtId="3" fontId="55" fillId="20" borderId="109" xfId="0" applyNumberFormat="1" applyFont="1" applyFill="1" applyBorder="1" applyAlignment="1">
      <alignment horizontal="centerContinuous" vertical="center"/>
    </xf>
    <xf numFmtId="3" fontId="55" fillId="20" borderId="110" xfId="0" applyNumberFormat="1" applyFont="1" applyFill="1" applyBorder="1" applyAlignment="1">
      <alignment horizontal="centerContinuous" vertical="center"/>
    </xf>
    <xf numFmtId="3" fontId="42" fillId="0" borderId="3" xfId="0" applyNumberFormat="1" applyFont="1" applyBorder="1" applyAlignment="1">
      <alignment horizontal="centerContinuous" vertical="center"/>
    </xf>
    <xf numFmtId="0" fontId="42" fillId="0" borderId="36" xfId="0" applyFont="1" applyBorder="1" applyAlignment="1">
      <alignment horizontal="centerContinuous" vertical="center"/>
    </xf>
    <xf numFmtId="0" fontId="77" fillId="2" borderId="9" xfId="0" applyFont="1" applyFill="1" applyBorder="1" applyAlignment="1">
      <alignment horizontal="centerContinuous" vertical="center"/>
    </xf>
    <xf numFmtId="0" fontId="77" fillId="2" borderId="10" xfId="0" applyFont="1" applyFill="1" applyBorder="1" applyAlignment="1">
      <alignment horizontal="centerContinuous" vertical="center"/>
    </xf>
    <xf numFmtId="0" fontId="77" fillId="2" borderId="10" xfId="0" applyFont="1" applyFill="1" applyBorder="1" applyAlignment="1">
      <alignment horizontal="centerContinuous" vertical="center" wrapText="1"/>
    </xf>
    <xf numFmtId="0" fontId="77" fillId="0" borderId="11" xfId="0" applyFont="1" applyBorder="1" applyAlignment="1">
      <alignment horizontal="centerContinuous" vertical="center"/>
    </xf>
    <xf numFmtId="0" fontId="77" fillId="0" borderId="6" xfId="0" applyFont="1" applyBorder="1" applyAlignment="1">
      <alignment horizontal="centerContinuous" vertical="center"/>
    </xf>
    <xf numFmtId="0" fontId="77" fillId="0" borderId="6" xfId="0" applyFont="1" applyBorder="1" applyAlignment="1">
      <alignment horizontal="center" vertical="center"/>
    </xf>
    <xf numFmtId="3" fontId="77" fillId="0" borderId="6" xfId="0" applyNumberFormat="1" applyFont="1" applyBorder="1" applyAlignment="1">
      <alignment horizontal="center" vertical="center"/>
    </xf>
    <xf numFmtId="0" fontId="77" fillId="2" borderId="6" xfId="0" applyFont="1" applyFill="1" applyBorder="1" applyAlignment="1">
      <alignment horizontal="center" vertical="center"/>
    </xf>
    <xf numFmtId="3" fontId="77" fillId="2" borderId="6" xfId="0" applyNumberFormat="1" applyFont="1" applyFill="1" applyBorder="1" applyAlignment="1">
      <alignment horizontal="center" vertical="center"/>
    </xf>
    <xf numFmtId="186" fontId="77" fillId="0" borderId="6" xfId="0" applyNumberFormat="1" applyFont="1" applyBorder="1" applyAlignment="1">
      <alignment horizontal="center" vertical="center"/>
    </xf>
    <xf numFmtId="0" fontId="28" fillId="2" borderId="11" xfId="0" applyFont="1" applyFill="1" applyBorder="1" applyAlignment="1">
      <alignment horizontal="centerContinuous" vertical="center"/>
    </xf>
    <xf numFmtId="176" fontId="28" fillId="2" borderId="6" xfId="0" applyNumberFormat="1" applyFont="1" applyFill="1" applyBorder="1" applyAlignment="1">
      <alignment horizontal="centerContinuous" vertical="center"/>
    </xf>
    <xf numFmtId="0" fontId="28" fillId="2" borderId="6" xfId="0" applyFont="1" applyFill="1" applyBorder="1" applyAlignment="1">
      <alignment horizontal="centerContinuous" vertical="center"/>
    </xf>
    <xf numFmtId="3" fontId="28" fillId="2" borderId="6" xfId="0" applyNumberFormat="1" applyFont="1" applyFill="1" applyBorder="1" applyAlignment="1">
      <alignment horizontal="centerContinuous" vertical="center"/>
    </xf>
    <xf numFmtId="9" fontId="28" fillId="2" borderId="6" xfId="0" applyNumberFormat="1" applyFont="1" applyFill="1" applyBorder="1" applyAlignment="1">
      <alignment horizontal="centerContinuous" vertical="center" wrapText="1"/>
    </xf>
    <xf numFmtId="0" fontId="28" fillId="0" borderId="13" xfId="0" applyFont="1" applyBorder="1" applyAlignment="1">
      <alignment horizontal="centerContinuous" vertical="center"/>
    </xf>
    <xf numFmtId="184" fontId="28" fillId="0" borderId="7" xfId="0" applyNumberFormat="1" applyFont="1" applyBorder="1" applyAlignment="1">
      <alignment horizontal="centerContinuous" vertical="center"/>
    </xf>
    <xf numFmtId="182" fontId="28" fillId="0" borderId="7" xfId="0" applyNumberFormat="1" applyFont="1" applyBorder="1" applyAlignment="1">
      <alignment horizontal="centerContinuous" vertical="center"/>
    </xf>
    <xf numFmtId="228" fontId="28" fillId="0" borderId="7" xfId="0" applyNumberFormat="1" applyFont="1" applyBorder="1" applyAlignment="1">
      <alignment horizontal="centerContinuous" vertical="center"/>
    </xf>
    <xf numFmtId="176" fontId="28" fillId="0" borderId="7" xfId="0" applyNumberFormat="1" applyFont="1" applyBorder="1" applyAlignment="1">
      <alignment horizontal="centerContinuous" vertical="center"/>
    </xf>
    <xf numFmtId="229" fontId="28" fillId="0" borderId="7" xfId="0" applyNumberFormat="1" applyFont="1" applyBorder="1" applyAlignment="1">
      <alignment horizontal="centerContinuous" vertical="center"/>
    </xf>
    <xf numFmtId="0" fontId="28" fillId="0" borderId="15" xfId="0" applyFont="1" applyBorder="1" applyAlignment="1">
      <alignment horizontal="centerContinuous" vertical="center"/>
    </xf>
    <xf numFmtId="184" fontId="28" fillId="0" borderId="8" xfId="0" applyNumberFormat="1" applyFont="1" applyBorder="1" applyAlignment="1">
      <alignment horizontal="centerContinuous" vertical="center"/>
    </xf>
    <xf numFmtId="182" fontId="28" fillId="0" borderId="8" xfId="0" applyNumberFormat="1" applyFont="1" applyBorder="1" applyAlignment="1">
      <alignment horizontal="centerContinuous" vertical="center"/>
    </xf>
    <xf numFmtId="228" fontId="28" fillId="0" borderId="8" xfId="0" applyNumberFormat="1" applyFont="1" applyBorder="1" applyAlignment="1">
      <alignment horizontal="centerContinuous" vertical="center"/>
    </xf>
    <xf numFmtId="176" fontId="28" fillId="0" borderId="8" xfId="0" applyNumberFormat="1" applyFont="1" applyBorder="1" applyAlignment="1">
      <alignment horizontal="centerContinuous" vertical="center"/>
    </xf>
    <xf numFmtId="229" fontId="28" fillId="0" borderId="8" xfId="0" applyNumberFormat="1" applyFont="1" applyBorder="1" applyAlignment="1">
      <alignment horizontal="centerContinuous" vertical="center"/>
    </xf>
    <xf numFmtId="0" fontId="37" fillId="0" borderId="0" xfId="0" applyFont="1" applyBorder="1">
      <alignment vertical="center"/>
    </xf>
    <xf numFmtId="231" fontId="75" fillId="0" borderId="115" xfId="0" applyNumberFormat="1" applyFont="1" applyBorder="1" applyAlignment="1">
      <alignment horizontal="centerContinuous" vertical="center"/>
    </xf>
    <xf numFmtId="231" fontId="75" fillId="0" borderId="116" xfId="0" applyNumberFormat="1" applyFont="1" applyBorder="1" applyAlignment="1">
      <alignment horizontal="centerContinuous" vertical="center"/>
    </xf>
    <xf numFmtId="231" fontId="75" fillId="0" borderId="117" xfId="0" applyNumberFormat="1" applyFont="1" applyBorder="1" applyAlignment="1">
      <alignment horizontal="centerContinuous" vertical="center"/>
    </xf>
    <xf numFmtId="0" fontId="78" fillId="0" borderId="0" xfId="0" applyFont="1" applyBorder="1">
      <alignment vertical="center"/>
    </xf>
    <xf numFmtId="210" fontId="8" fillId="11" borderId="16" xfId="0" applyNumberFormat="1" applyFont="1" applyFill="1" applyBorder="1" applyAlignment="1">
      <alignment horizontal="center" vertical="center"/>
    </xf>
    <xf numFmtId="0" fontId="8" fillId="0" borderId="19" xfId="0" applyFont="1" applyBorder="1">
      <alignment vertical="center"/>
    </xf>
    <xf numFmtId="3" fontId="52" fillId="0" borderId="37" xfId="0" applyNumberFormat="1" applyFont="1" applyBorder="1" applyAlignment="1">
      <alignment horizontal="center" vertical="center"/>
    </xf>
    <xf numFmtId="0" fontId="52" fillId="0" borderId="19" xfId="0" applyFont="1" applyBorder="1">
      <alignment vertical="center"/>
    </xf>
    <xf numFmtId="0" fontId="52" fillId="0" borderId="0" xfId="0" applyFont="1">
      <alignment vertical="center"/>
    </xf>
    <xf numFmtId="0" fontId="42" fillId="0" borderId="37" xfId="0" applyFont="1" applyBorder="1" applyAlignment="1">
      <alignment horizontal="centerContinuous" vertical="center" wrapText="1"/>
    </xf>
    <xf numFmtId="0" fontId="42" fillId="0" borderId="21" xfId="0" applyFont="1" applyBorder="1" applyAlignment="1">
      <alignment horizontal="centerContinuous" vertical="center" wrapText="1"/>
    </xf>
    <xf numFmtId="0" fontId="42" fillId="0" borderId="36" xfId="0" applyFont="1" applyBorder="1" applyAlignment="1">
      <alignment horizontal="centerContinuous" vertical="center" wrapText="1"/>
    </xf>
    <xf numFmtId="0" fontId="45" fillId="21" borderId="0" xfId="0" applyFont="1" applyFill="1" applyBorder="1" applyAlignment="1">
      <alignment horizontal="centerContinuous" vertical="center"/>
    </xf>
    <xf numFmtId="0" fontId="11" fillId="21" borderId="0" xfId="0" applyFont="1" applyFill="1" applyBorder="1" applyAlignment="1">
      <alignment horizontal="centerContinuous" vertical="center"/>
    </xf>
    <xf numFmtId="0" fontId="9" fillId="21" borderId="0" xfId="0" applyFont="1" applyFill="1" applyBorder="1" applyAlignment="1">
      <alignment horizontal="centerContinuous" vertical="center"/>
    </xf>
    <xf numFmtId="0" fontId="17" fillId="21" borderId="0" xfId="0" applyFont="1" applyFill="1" applyBorder="1" applyAlignment="1">
      <alignment horizontal="centerContinuous" vertical="center"/>
    </xf>
    <xf numFmtId="0" fontId="21" fillId="21" borderId="0" xfId="0" applyFont="1" applyFill="1" applyBorder="1" applyAlignment="1">
      <alignment horizontal="centerContinuous" vertical="center"/>
    </xf>
    <xf numFmtId="183" fontId="62" fillId="0" borderId="7" xfId="0" applyNumberFormat="1" applyFont="1" applyFill="1" applyBorder="1" applyAlignment="1">
      <alignment horizontal="centerContinuous" vertical="center"/>
    </xf>
    <xf numFmtId="183" fontId="62" fillId="0" borderId="14" xfId="0" applyNumberFormat="1" applyFont="1" applyFill="1" applyBorder="1" applyAlignment="1">
      <alignment horizontal="centerContinuous" vertical="center"/>
    </xf>
    <xf numFmtId="183" fontId="1" fillId="2" borderId="123" xfId="0" applyNumberFormat="1" applyFont="1" applyFill="1" applyBorder="1" applyAlignment="1">
      <alignment horizontal="center" vertical="center"/>
    </xf>
    <xf numFmtId="183" fontId="1" fillId="2" borderId="124" xfId="0" applyNumberFormat="1" applyFont="1" applyFill="1" applyBorder="1" applyAlignment="1">
      <alignment horizontal="center" vertical="center"/>
    </xf>
    <xf numFmtId="183" fontId="1" fillId="2" borderId="125" xfId="0" applyNumberFormat="1" applyFont="1" applyFill="1" applyBorder="1" applyAlignment="1">
      <alignment horizontal="center" vertical="center"/>
    </xf>
    <xf numFmtId="183" fontId="1" fillId="2" borderId="126" xfId="0" applyNumberFormat="1" applyFont="1" applyFill="1" applyBorder="1" applyAlignment="1">
      <alignment horizontal="center" vertical="center"/>
    </xf>
    <xf numFmtId="230" fontId="39" fillId="0" borderId="127" xfId="0" applyNumberFormat="1" applyFont="1" applyBorder="1" applyAlignment="1">
      <alignment horizontal="center" vertical="center"/>
    </xf>
    <xf numFmtId="183" fontId="1" fillId="2" borderId="128" xfId="0" applyNumberFormat="1" applyFont="1" applyFill="1" applyBorder="1" applyAlignment="1">
      <alignment horizontal="center" vertical="center"/>
    </xf>
    <xf numFmtId="183" fontId="1" fillId="2" borderId="35" xfId="0" applyNumberFormat="1" applyFont="1" applyFill="1" applyBorder="1" applyAlignment="1">
      <alignment horizontal="center" vertical="center"/>
    </xf>
    <xf numFmtId="230" fontId="39" fillId="0" borderId="129" xfId="0" applyNumberFormat="1" applyFont="1" applyBorder="1" applyAlignment="1">
      <alignment horizontal="center" vertical="center"/>
    </xf>
    <xf numFmtId="3" fontId="42" fillId="0" borderId="34" xfId="0" applyNumberFormat="1" applyFont="1" applyBorder="1" applyAlignment="1">
      <alignment horizontal="centerContinuous" vertical="center" wrapText="1"/>
    </xf>
    <xf numFmtId="3" fontId="75" fillId="0" borderId="0" xfId="0" applyNumberFormat="1" applyFont="1" applyAlignment="1">
      <alignment horizontal="right" vertical="center"/>
    </xf>
    <xf numFmtId="228" fontId="77" fillId="2" borderId="9" xfId="0" applyNumberFormat="1" applyFont="1" applyFill="1" applyBorder="1" applyAlignment="1">
      <alignment horizontal="centerContinuous" vertical="center"/>
    </xf>
    <xf numFmtId="3" fontId="77" fillId="0" borderId="1" xfId="0" applyNumberFormat="1" applyFont="1" applyBorder="1" applyAlignment="1">
      <alignment horizontal="centerContinuous" vertical="center"/>
    </xf>
    <xf numFmtId="3" fontId="8" fillId="0" borderId="2" xfId="0" applyNumberFormat="1" applyFont="1" applyFill="1" applyBorder="1" applyAlignment="1">
      <alignment horizontal="center" vertical="center"/>
    </xf>
    <xf numFmtId="210" fontId="15" fillId="0" borderId="46" xfId="0" applyNumberFormat="1" applyFont="1" applyFill="1" applyBorder="1" applyAlignment="1">
      <alignment horizontal="center" vertical="center"/>
    </xf>
    <xf numFmtId="210" fontId="8" fillId="0" borderId="20" xfId="0" applyNumberFormat="1" applyFont="1" applyFill="1" applyBorder="1" applyAlignment="1">
      <alignment horizontal="center" vertical="center"/>
    </xf>
    <xf numFmtId="3" fontId="81" fillId="0" borderId="45" xfId="0" applyNumberFormat="1" applyFont="1" applyFill="1" applyBorder="1" applyAlignment="1">
      <alignment horizontal="center" vertical="center"/>
    </xf>
    <xf numFmtId="231" fontId="79" fillId="0" borderId="113" xfId="0" applyNumberFormat="1" applyFont="1" applyFill="1" applyBorder="1" applyAlignment="1">
      <alignment horizontal="centerContinuous" vertical="center"/>
    </xf>
    <xf numFmtId="231" fontId="79" fillId="0" borderId="114" xfId="0" applyNumberFormat="1" applyFont="1" applyFill="1" applyBorder="1" applyAlignment="1">
      <alignment horizontal="centerContinuous" vertical="center"/>
    </xf>
    <xf numFmtId="210" fontId="12" fillId="0" borderId="15" xfId="0" applyNumberFormat="1" applyFont="1" applyFill="1" applyBorder="1" applyAlignment="1">
      <alignment horizontal="center" vertical="center"/>
    </xf>
    <xf numFmtId="206" fontId="86" fillId="0" borderId="42" xfId="0" applyNumberFormat="1" applyFont="1" applyFill="1" applyBorder="1" applyAlignment="1">
      <alignment horizontal="center" vertical="center"/>
    </xf>
    <xf numFmtId="203" fontId="86" fillId="0" borderId="13" xfId="0" applyNumberFormat="1" applyFont="1" applyFill="1" applyBorder="1" applyAlignment="1">
      <alignment horizontal="center" vertical="center"/>
    </xf>
    <xf numFmtId="184" fontId="12" fillId="0" borderId="43" xfId="0" applyNumberFormat="1" applyFont="1" applyFill="1" applyBorder="1" applyAlignment="1">
      <alignment horizontal="center" vertical="center"/>
    </xf>
    <xf numFmtId="184" fontId="12" fillId="0" borderId="4" xfId="0" applyNumberFormat="1" applyFont="1" applyFill="1" applyBorder="1" applyAlignment="1">
      <alignment horizontal="center" vertical="center"/>
    </xf>
    <xf numFmtId="3" fontId="87" fillId="0" borderId="4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>
      <alignment vertical="center"/>
    </xf>
    <xf numFmtId="0" fontId="8" fillId="0" borderId="19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6" xfId="0" applyBorder="1">
      <alignment vertical="center"/>
    </xf>
    <xf numFmtId="0" fontId="8" fillId="18" borderId="1" xfId="0" applyFont="1" applyFill="1" applyBorder="1">
      <alignment vertical="center"/>
    </xf>
    <xf numFmtId="0" fontId="8" fillId="0" borderId="48" xfId="0" applyFont="1" applyBorder="1">
      <alignment vertical="center"/>
    </xf>
    <xf numFmtId="3" fontId="20" fillId="0" borderId="0" xfId="0" applyNumberFormat="1" applyFont="1" applyAlignment="1">
      <alignment horizontal="center" vertical="center"/>
    </xf>
    <xf numFmtId="3" fontId="89" fillId="0" borderId="0" xfId="0" applyNumberFormat="1" applyFont="1" applyAlignment="1">
      <alignment horizontal="center" vertical="center"/>
    </xf>
    <xf numFmtId="3" fontId="8" fillId="10" borderId="19" xfId="0" applyNumberFormat="1" applyFont="1" applyFill="1" applyBorder="1" applyAlignment="1">
      <alignment horizontal="center" vertical="center"/>
    </xf>
    <xf numFmtId="234" fontId="10" fillId="0" borderId="22" xfId="0" applyNumberFormat="1" applyFont="1" applyFill="1" applyBorder="1" applyAlignment="1">
      <alignment horizontal="center" vertical="center" wrapText="1"/>
    </xf>
    <xf numFmtId="235" fontId="10" fillId="0" borderId="22" xfId="0" applyNumberFormat="1" applyFont="1" applyFill="1" applyBorder="1" applyAlignment="1">
      <alignment horizontal="center" vertical="center" wrapText="1"/>
    </xf>
    <xf numFmtId="235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16" fillId="11" borderId="97" xfId="0" applyFont="1" applyFill="1" applyBorder="1" applyAlignment="1">
      <alignment horizontal="right" vertical="center"/>
    </xf>
    <xf numFmtId="210" fontId="72" fillId="11" borderId="43" xfId="0" applyNumberFormat="1" applyFont="1" applyFill="1" applyBorder="1" applyAlignment="1">
      <alignment horizontal="center" vertical="center"/>
    </xf>
    <xf numFmtId="210" fontId="72" fillId="11" borderId="4" xfId="0" applyNumberFormat="1" applyFont="1" applyFill="1" applyBorder="1" applyAlignment="1">
      <alignment horizontal="center" vertical="center"/>
    </xf>
    <xf numFmtId="210" fontId="72" fillId="11" borderId="5" xfId="0" applyNumberFormat="1" applyFont="1" applyFill="1" applyBorder="1" applyAlignment="1">
      <alignment horizontal="center" vertical="center"/>
    </xf>
    <xf numFmtId="0" fontId="16" fillId="11" borderId="98" xfId="0" applyFont="1" applyFill="1" applyBorder="1" applyAlignment="1">
      <alignment horizontal="right" vertical="center"/>
    </xf>
    <xf numFmtId="210" fontId="72" fillId="11" borderId="99" xfId="0" applyNumberFormat="1" applyFont="1" applyFill="1" applyBorder="1" applyAlignment="1">
      <alignment horizontal="center" vertical="center"/>
    </xf>
    <xf numFmtId="210" fontId="72" fillId="11" borderId="100" xfId="0" applyNumberFormat="1" applyFont="1" applyFill="1" applyBorder="1" applyAlignment="1">
      <alignment horizontal="center" vertical="center"/>
    </xf>
    <xf numFmtId="210" fontId="72" fillId="11" borderId="101" xfId="0" applyNumberFormat="1" applyFont="1" applyFill="1" applyBorder="1" applyAlignment="1">
      <alignment horizontal="center" vertical="center"/>
    </xf>
    <xf numFmtId="202" fontId="51" fillId="11" borderId="19" xfId="0" applyNumberFormat="1" applyFont="1" applyFill="1" applyBorder="1" applyAlignment="1">
      <alignment horizontal="centerContinuous" vertical="center"/>
    </xf>
    <xf numFmtId="236" fontId="8" fillId="7" borderId="0" xfId="0" applyNumberFormat="1" applyFont="1" applyFill="1" applyAlignment="1">
      <alignment horizontal="center" vertical="center"/>
    </xf>
    <xf numFmtId="0" fontId="8" fillId="7" borderId="0" xfId="0" applyFont="1" applyFill="1">
      <alignment vertical="center"/>
    </xf>
    <xf numFmtId="210" fontId="8" fillId="7" borderId="0" xfId="0" applyNumberFormat="1" applyFont="1" applyFill="1" applyAlignment="1">
      <alignment horizontal="center" vertical="center"/>
    </xf>
    <xf numFmtId="3" fontId="8" fillId="7" borderId="0" xfId="0" applyNumberFormat="1" applyFont="1" applyFill="1" applyAlignment="1">
      <alignment horizontal="center" vertical="center"/>
    </xf>
    <xf numFmtId="0" fontId="92" fillId="15" borderId="0" xfId="0" applyFont="1" applyFill="1" applyBorder="1" applyAlignment="1">
      <alignment horizontal="centerContinuous" vertical="center"/>
    </xf>
    <xf numFmtId="0" fontId="91" fillId="15" borderId="0" xfId="0" applyFont="1" applyFill="1" applyBorder="1" applyAlignment="1">
      <alignment horizontal="centerContinuous" vertical="center"/>
    </xf>
    <xf numFmtId="0" fontId="0" fillId="15" borderId="0" xfId="0" applyFill="1" applyBorder="1">
      <alignment vertical="center"/>
    </xf>
    <xf numFmtId="0" fontId="93" fillId="15" borderId="0" xfId="0" applyFont="1" applyFill="1" applyBorder="1" applyAlignment="1">
      <alignment horizontal="centerContinuous" vertical="center"/>
    </xf>
    <xf numFmtId="23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84" fontId="8" fillId="0" borderId="0" xfId="0" applyNumberFormat="1" applyFont="1" applyAlignment="1">
      <alignment horizontal="center" vertical="center"/>
    </xf>
    <xf numFmtId="3" fontId="52" fillId="0" borderId="0" xfId="0" applyNumberFormat="1" applyFont="1">
      <alignment vertical="center"/>
    </xf>
    <xf numFmtId="0" fontId="94" fillId="15" borderId="0" xfId="0" applyFont="1" applyFill="1" applyBorder="1" applyAlignment="1">
      <alignment horizontal="right"/>
    </xf>
    <xf numFmtId="183" fontId="0" fillId="0" borderId="0" xfId="0" applyNumberFormat="1" applyAlignment="1">
      <alignment horizontal="center" vertical="center"/>
    </xf>
    <xf numFmtId="238" fontId="15" fillId="0" borderId="46" xfId="0" applyNumberFormat="1" applyFont="1" applyFill="1" applyBorder="1" applyAlignment="1">
      <alignment horizontal="center" vertical="center"/>
    </xf>
    <xf numFmtId="238" fontId="88" fillId="0" borderId="47" xfId="0" applyNumberFormat="1" applyFont="1" applyFill="1" applyBorder="1" applyAlignment="1">
      <alignment horizontal="center" vertical="center"/>
    </xf>
    <xf numFmtId="239" fontId="8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39" fontId="0" fillId="0" borderId="0" xfId="0" applyNumberFormat="1" applyAlignment="1">
      <alignment horizontal="center" vertical="center"/>
    </xf>
    <xf numFmtId="0" fontId="97" fillId="15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240" fontId="1" fillId="0" borderId="0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4" fontId="1" fillId="2" borderId="1" xfId="0" applyNumberFormat="1" applyFont="1" applyFill="1" applyBorder="1" applyAlignment="1">
      <alignment horizontal="center" vertical="center"/>
    </xf>
    <xf numFmtId="0" fontId="101" fillId="0" borderId="0" xfId="1">
      <alignment vertical="center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102" fillId="22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3" fontId="1" fillId="0" borderId="0" xfId="0" applyNumberFormat="1" applyFont="1" applyBorder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241" fontId="1" fillId="0" borderId="0" xfId="0" applyNumberFormat="1" applyFont="1" applyAlignment="1">
      <alignment horizontal="center" vertical="center"/>
    </xf>
    <xf numFmtId="241" fontId="1" fillId="0" borderId="0" xfId="0" applyNumberFormat="1" applyFont="1" applyAlignment="1">
      <alignment horizontal="centerContinuous" vertical="center" wrapText="1"/>
    </xf>
    <xf numFmtId="0" fontId="8" fillId="0" borderId="74" xfId="0" applyFont="1" applyFill="1" applyBorder="1" applyAlignment="1">
      <alignment horizontal="center" vertical="center" shrinkToFit="1"/>
    </xf>
    <xf numFmtId="0" fontId="52" fillId="0" borderId="0" xfId="0" applyFont="1" applyBorder="1">
      <alignment vertical="center"/>
    </xf>
    <xf numFmtId="197" fontId="8" fillId="0" borderId="13" xfId="0" applyNumberFormat="1" applyFont="1" applyFill="1" applyBorder="1" applyAlignment="1">
      <alignment horizontal="center" vertical="center"/>
    </xf>
    <xf numFmtId="3" fontId="44" fillId="0" borderId="7" xfId="0" applyNumberFormat="1" applyFont="1" applyFill="1" applyBorder="1" applyAlignment="1">
      <alignment horizontal="center" vertical="center"/>
    </xf>
    <xf numFmtId="3" fontId="44" fillId="0" borderId="14" xfId="0" applyNumberFormat="1" applyFont="1" applyFill="1" applyBorder="1" applyAlignment="1">
      <alignment horizontal="center" vertical="center"/>
    </xf>
    <xf numFmtId="197" fontId="8" fillId="0" borderId="20" xfId="0" applyNumberFormat="1" applyFont="1" applyFill="1" applyBorder="1" applyAlignment="1">
      <alignment horizontal="center" vertical="center"/>
    </xf>
    <xf numFmtId="3" fontId="44" fillId="0" borderId="34" xfId="0" applyNumberFormat="1" applyFont="1" applyFill="1" applyBorder="1" applyAlignment="1">
      <alignment horizontal="center" vertical="center"/>
    </xf>
    <xf numFmtId="3" fontId="44" fillId="11" borderId="34" xfId="0" applyNumberFormat="1" applyFont="1" applyFill="1" applyBorder="1" applyAlignment="1">
      <alignment horizontal="center" vertical="center"/>
    </xf>
    <xf numFmtId="3" fontId="44" fillId="11" borderId="21" xfId="0" applyNumberFormat="1" applyFont="1" applyFill="1" applyBorder="1" applyAlignment="1">
      <alignment horizontal="center" vertical="center"/>
    </xf>
    <xf numFmtId="197" fontId="8" fillId="0" borderId="4" xfId="0" applyNumberFormat="1" applyFont="1" applyFill="1" applyBorder="1" applyAlignment="1">
      <alignment horizontal="center" vertical="center"/>
    </xf>
    <xf numFmtId="3" fontId="44" fillId="0" borderId="5" xfId="0" applyNumberFormat="1" applyFont="1" applyFill="1" applyBorder="1" applyAlignment="1">
      <alignment horizontal="center" vertical="center"/>
    </xf>
    <xf numFmtId="3" fontId="44" fillId="0" borderId="19" xfId="0" applyNumberFormat="1" applyFont="1" applyFill="1" applyBorder="1" applyAlignment="1">
      <alignment horizontal="center" vertical="center"/>
    </xf>
    <xf numFmtId="3" fontId="44" fillId="11" borderId="5" xfId="0" applyNumberFormat="1" applyFont="1" applyFill="1" applyBorder="1" applyAlignment="1">
      <alignment horizontal="center" vertical="center"/>
    </xf>
    <xf numFmtId="3" fontId="44" fillId="11" borderId="19" xfId="0" applyNumberFormat="1" applyFont="1" applyFill="1" applyBorder="1" applyAlignment="1">
      <alignment horizontal="center" vertical="center"/>
    </xf>
    <xf numFmtId="0" fontId="50" fillId="0" borderId="13" xfId="0" applyFont="1" applyBorder="1" applyAlignment="1">
      <alignment horizontal="center" vertical="center"/>
    </xf>
    <xf numFmtId="0" fontId="51" fillId="0" borderId="7" xfId="0" applyFont="1" applyBorder="1" applyAlignment="1">
      <alignment horizontal="centerContinuous" vertical="center" wrapText="1"/>
    </xf>
    <xf numFmtId="225" fontId="37" fillId="0" borderId="7" xfId="0" applyNumberFormat="1" applyFont="1" applyBorder="1" applyAlignment="1">
      <alignment horizontal="centerContinuous" vertical="center"/>
    </xf>
    <xf numFmtId="3" fontId="51" fillId="0" borderId="7" xfId="0" applyNumberFormat="1" applyFont="1" applyBorder="1" applyAlignment="1">
      <alignment horizontal="centerContinuous" vertical="center"/>
    </xf>
    <xf numFmtId="182" fontId="51" fillId="0" borderId="7" xfId="0" applyNumberFormat="1" applyFont="1" applyBorder="1" applyAlignment="1">
      <alignment horizontal="centerContinuous" vertical="center"/>
    </xf>
    <xf numFmtId="3" fontId="51" fillId="0" borderId="7" xfId="0" applyNumberFormat="1" applyFont="1" applyFill="1" applyBorder="1" applyAlignment="1">
      <alignment horizontal="centerContinuous" vertical="center"/>
    </xf>
    <xf numFmtId="3" fontId="71" fillId="14" borderId="7" xfId="0" quotePrefix="1" applyNumberFormat="1" applyFont="1" applyFill="1" applyBorder="1" applyAlignment="1">
      <alignment horizontal="center" vertical="center" wrapText="1" shrinkToFit="1"/>
    </xf>
    <xf numFmtId="3" fontId="51" fillId="0" borderId="14" xfId="0" applyNumberFormat="1" applyFont="1" applyBorder="1" applyAlignment="1">
      <alignment horizontal="centerContinuous" vertical="center"/>
    </xf>
    <xf numFmtId="0" fontId="50" fillId="0" borderId="15" xfId="0" applyFont="1" applyBorder="1" applyAlignment="1">
      <alignment horizontal="center" vertical="center"/>
    </xf>
    <xf numFmtId="0" fontId="51" fillId="0" borderId="8" xfId="0" applyFont="1" applyBorder="1" applyAlignment="1">
      <alignment horizontal="centerContinuous" vertical="center" wrapText="1"/>
    </xf>
    <xf numFmtId="225" fontId="37" fillId="0" borderId="8" xfId="0" applyNumberFormat="1" applyFont="1" applyBorder="1" applyAlignment="1">
      <alignment horizontal="centerContinuous" vertical="center"/>
    </xf>
    <xf numFmtId="3" fontId="51" fillId="0" borderId="8" xfId="0" applyNumberFormat="1" applyFont="1" applyBorder="1" applyAlignment="1">
      <alignment horizontal="centerContinuous" vertical="center"/>
    </xf>
    <xf numFmtId="182" fontId="51" fillId="0" borderId="8" xfId="0" applyNumberFormat="1" applyFont="1" applyBorder="1" applyAlignment="1">
      <alignment horizontal="centerContinuous" vertical="center"/>
    </xf>
    <xf numFmtId="3" fontId="51" fillId="0" borderId="8" xfId="0" applyNumberFormat="1" applyFont="1" applyFill="1" applyBorder="1" applyAlignment="1">
      <alignment horizontal="centerContinuous" vertical="center"/>
    </xf>
    <xf numFmtId="3" fontId="71" fillId="14" borderId="8" xfId="0" applyNumberFormat="1" applyFont="1" applyFill="1" applyBorder="1" applyAlignment="1">
      <alignment horizontal="center" vertical="center" wrapText="1" shrinkToFit="1"/>
    </xf>
    <xf numFmtId="3" fontId="51" fillId="0" borderId="16" xfId="0" applyNumberFormat="1" applyFont="1" applyBorder="1" applyAlignment="1">
      <alignment horizontal="centerContinuous" vertical="center"/>
    </xf>
    <xf numFmtId="210" fontId="85" fillId="0" borderId="47" xfId="0" applyNumberFormat="1" applyFont="1" applyFill="1" applyBorder="1" applyAlignment="1">
      <alignment horizontal="center" vertical="center"/>
    </xf>
    <xf numFmtId="3" fontId="12" fillId="0" borderId="2" xfId="0" applyNumberFormat="1" applyFont="1" applyFill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3" fontId="12" fillId="0" borderId="37" xfId="0" applyNumberFormat="1" applyFont="1" applyBorder="1" applyAlignment="1">
      <alignment horizontal="center" vertical="center"/>
    </xf>
    <xf numFmtId="3" fontId="103" fillId="0" borderId="45" xfId="0" applyNumberFormat="1" applyFont="1" applyFill="1" applyBorder="1" applyAlignment="1">
      <alignment horizontal="center" vertical="center"/>
    </xf>
    <xf numFmtId="3" fontId="8" fillId="10" borderId="148" xfId="0" applyNumberFormat="1" applyFont="1" applyFill="1" applyBorder="1" applyAlignment="1">
      <alignment horizontal="center" vertical="center"/>
    </xf>
    <xf numFmtId="3" fontId="12" fillId="11" borderId="19" xfId="0" applyNumberFormat="1" applyFont="1" applyFill="1" applyBorder="1" applyAlignment="1">
      <alignment horizontal="center" vertical="center"/>
    </xf>
    <xf numFmtId="3" fontId="12" fillId="11" borderId="149" xfId="0" applyNumberFormat="1" applyFont="1" applyFill="1" applyBorder="1" applyAlignment="1">
      <alignment horizontal="center" vertical="center"/>
    </xf>
    <xf numFmtId="3" fontId="1" fillId="0" borderId="40" xfId="0" applyNumberFormat="1" applyFont="1" applyBorder="1">
      <alignment vertical="center"/>
    </xf>
    <xf numFmtId="3" fontId="1" fillId="0" borderId="0" xfId="0" applyNumberFormat="1" applyFont="1" applyBorder="1">
      <alignment vertical="center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/>
    </xf>
    <xf numFmtId="186" fontId="17" fillId="4" borderId="14" xfId="0" applyNumberFormat="1" applyFont="1" applyFill="1" applyBorder="1" applyAlignment="1">
      <alignment horizontal="center" vertical="center"/>
    </xf>
    <xf numFmtId="186" fontId="17" fillId="4" borderId="19" xfId="0" applyNumberFormat="1" applyFont="1" applyFill="1" applyBorder="1" applyAlignment="1">
      <alignment horizontal="center" vertical="center"/>
    </xf>
    <xf numFmtId="186" fontId="17" fillId="4" borderId="16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99" fontId="15" fillId="0" borderId="0" xfId="0" applyNumberFormat="1" applyFont="1" applyBorder="1" applyAlignment="1">
      <alignment horizontal="left" vertical="center"/>
    </xf>
    <xf numFmtId="200" fontId="15" fillId="0" borderId="0" xfId="0" applyNumberFormat="1" applyFont="1" applyBorder="1" applyAlignment="1">
      <alignment horizontal="left" vertical="center"/>
    </xf>
    <xf numFmtId="193" fontId="15" fillId="0" borderId="0" xfId="0" applyNumberFormat="1" applyFont="1" applyBorder="1" applyAlignment="1">
      <alignment horizontal="left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46" fillId="0" borderId="36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6" fillId="0" borderId="26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46" fillId="0" borderId="19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21" xfId="0" applyFont="1" applyBorder="1" applyAlignment="1">
      <alignment horizontal="center" vertical="center"/>
    </xf>
    <xf numFmtId="0" fontId="46" fillId="0" borderId="30" xfId="0" applyFont="1" applyBorder="1" applyAlignment="1">
      <alignment horizontal="center" vertical="center"/>
    </xf>
    <xf numFmtId="0" fontId="46" fillId="0" borderId="37" xfId="0" applyFont="1" applyBorder="1" applyAlignment="1">
      <alignment horizontal="center" vertical="center"/>
    </xf>
    <xf numFmtId="0" fontId="46" fillId="0" borderId="4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39" fillId="2" borderId="27" xfId="0" applyFont="1" applyFill="1" applyBorder="1" applyAlignment="1">
      <alignment horizontal="center" vertical="center"/>
    </xf>
    <xf numFmtId="0" fontId="39" fillId="2" borderId="13" xfId="0" applyFont="1" applyFill="1" applyBorder="1" applyAlignment="1">
      <alignment horizontal="center" vertical="center"/>
    </xf>
    <xf numFmtId="0" fontId="39" fillId="2" borderId="35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43" fillId="15" borderId="40" xfId="0" applyFont="1" applyFill="1" applyBorder="1" applyAlignment="1">
      <alignment horizontal="center" vertical="center" wrapText="1"/>
    </xf>
    <xf numFmtId="0" fontId="39" fillId="3" borderId="40" xfId="0" applyFont="1" applyFill="1" applyBorder="1" applyAlignment="1">
      <alignment horizontal="center" vertical="center"/>
    </xf>
    <xf numFmtId="0" fontId="43" fillId="16" borderId="40" xfId="0" applyFont="1" applyFill="1" applyBorder="1" applyAlignment="1">
      <alignment horizontal="center" vertical="center" wrapText="1"/>
    </xf>
    <xf numFmtId="0" fontId="39" fillId="2" borderId="14" xfId="0" applyFont="1" applyFill="1" applyBorder="1" applyAlignment="1">
      <alignment horizontal="center" vertical="center" wrapText="1"/>
    </xf>
    <xf numFmtId="0" fontId="39" fillId="2" borderId="16" xfId="0" applyFont="1" applyFill="1" applyBorder="1" applyAlignment="1">
      <alignment horizontal="center" vertical="center" wrapText="1"/>
    </xf>
    <xf numFmtId="14" fontId="98" fillId="15" borderId="0" xfId="0" applyNumberFormat="1" applyFont="1" applyFill="1" applyBorder="1" applyAlignment="1">
      <alignment horizontal="right"/>
    </xf>
    <xf numFmtId="41" fontId="99" fillId="15" borderId="0" xfId="0" applyNumberFormat="1" applyFont="1" applyFill="1" applyBorder="1" applyAlignment="1">
      <alignment horizontal="center" vertical="center" wrapText="1"/>
    </xf>
    <xf numFmtId="0" fontId="90" fillId="15" borderId="145" xfId="0" applyFont="1" applyFill="1" applyBorder="1" applyAlignment="1">
      <alignment horizontal="left" vertical="center" indent="2"/>
    </xf>
    <xf numFmtId="0" fontId="90" fillId="15" borderId="146" xfId="0" applyFont="1" applyFill="1" applyBorder="1" applyAlignment="1">
      <alignment horizontal="left" vertical="center" indent="2"/>
    </xf>
    <xf numFmtId="0" fontId="90" fillId="15" borderId="147" xfId="0" applyFont="1" applyFill="1" applyBorder="1" applyAlignment="1">
      <alignment horizontal="left" vertical="center" indent="2"/>
    </xf>
    <xf numFmtId="0" fontId="100" fillId="15" borderId="0" xfId="0" applyFont="1" applyFill="1" applyBorder="1" applyAlignment="1">
      <alignment horizontal="center" vertical="center" wrapText="1"/>
    </xf>
    <xf numFmtId="0" fontId="95" fillId="15" borderId="139" xfId="0" applyFont="1" applyFill="1" applyBorder="1" applyAlignment="1">
      <alignment horizontal="center" vertical="center"/>
    </xf>
    <xf numFmtId="0" fontId="96" fillId="15" borderId="141" xfId="0" applyFont="1" applyFill="1" applyBorder="1" applyAlignment="1">
      <alignment horizontal="center" vertical="center"/>
    </xf>
    <xf numFmtId="0" fontId="96" fillId="15" borderId="136" xfId="0" applyFont="1" applyFill="1" applyBorder="1" applyAlignment="1">
      <alignment horizontal="center" vertical="center"/>
    </xf>
    <xf numFmtId="0" fontId="96" fillId="15" borderId="138" xfId="0" applyFont="1" applyFill="1" applyBorder="1" applyAlignment="1">
      <alignment horizontal="center" vertical="center"/>
    </xf>
    <xf numFmtId="0" fontId="96" fillId="15" borderId="142" xfId="0" applyFont="1" applyFill="1" applyBorder="1" applyAlignment="1">
      <alignment horizontal="center" vertical="center"/>
    </xf>
    <xf numFmtId="0" fontId="96" fillId="15" borderId="144" xfId="0" applyFont="1" applyFill="1" applyBorder="1" applyAlignment="1">
      <alignment horizontal="center" vertical="center"/>
    </xf>
    <xf numFmtId="0" fontId="90" fillId="15" borderId="139" xfId="0" applyFont="1" applyFill="1" applyBorder="1" applyAlignment="1">
      <alignment horizontal="left" vertical="center" indent="2"/>
    </xf>
    <xf numFmtId="0" fontId="90" fillId="15" borderId="140" xfId="0" applyFont="1" applyFill="1" applyBorder="1" applyAlignment="1">
      <alignment horizontal="left" vertical="center" indent="2"/>
    </xf>
    <xf numFmtId="0" fontId="90" fillId="15" borderId="141" xfId="0" applyFont="1" applyFill="1" applyBorder="1" applyAlignment="1">
      <alignment horizontal="left" vertical="center" indent="2"/>
    </xf>
    <xf numFmtId="0" fontId="90" fillId="15" borderId="136" xfId="0" applyFont="1" applyFill="1" applyBorder="1" applyAlignment="1">
      <alignment horizontal="left" vertical="center" indent="2"/>
    </xf>
    <xf numFmtId="0" fontId="90" fillId="15" borderId="137" xfId="0" applyFont="1" applyFill="1" applyBorder="1" applyAlignment="1">
      <alignment horizontal="left" vertical="center" indent="2"/>
    </xf>
    <xf numFmtId="0" fontId="90" fillId="15" borderId="138" xfId="0" applyFont="1" applyFill="1" applyBorder="1" applyAlignment="1">
      <alignment horizontal="left" vertical="center" indent="2"/>
    </xf>
    <xf numFmtId="0" fontId="90" fillId="15" borderId="142" xfId="0" applyFont="1" applyFill="1" applyBorder="1" applyAlignment="1">
      <alignment horizontal="left" vertical="center" indent="2"/>
    </xf>
    <xf numFmtId="0" fontId="90" fillId="15" borderId="143" xfId="0" applyFont="1" applyFill="1" applyBorder="1" applyAlignment="1">
      <alignment horizontal="left" vertical="center" indent="2"/>
    </xf>
    <xf numFmtId="0" fontId="90" fillId="15" borderId="144" xfId="0" applyFont="1" applyFill="1" applyBorder="1" applyAlignment="1">
      <alignment horizontal="left" vertical="center" indent="2"/>
    </xf>
    <xf numFmtId="0" fontId="97" fillId="15" borderId="0" xfId="0" applyFont="1" applyFill="1" applyBorder="1" applyAlignment="1">
      <alignment horizontal="center" vertical="center" wrapText="1"/>
    </xf>
    <xf numFmtId="183" fontId="95" fillId="15" borderId="0" xfId="0" applyNumberFormat="1" applyFont="1" applyFill="1" applyBorder="1" applyAlignment="1">
      <alignment horizontal="center" vertical="center"/>
    </xf>
    <xf numFmtId="0" fontId="8" fillId="2" borderId="75" xfId="0" applyFont="1" applyFill="1" applyBorder="1" applyAlignment="1">
      <alignment horizontal="center" vertical="center"/>
    </xf>
    <xf numFmtId="0" fontId="8" fillId="2" borderId="76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53" fillId="2" borderId="3" xfId="0" applyFont="1" applyFill="1" applyBorder="1" applyAlignment="1">
      <alignment horizontal="center" vertical="center" wrapText="1"/>
    </xf>
    <xf numFmtId="0" fontId="53" fillId="2" borderId="34" xfId="0" applyFont="1" applyFill="1" applyBorder="1" applyAlignment="1">
      <alignment horizontal="center" vertical="center"/>
    </xf>
    <xf numFmtId="193" fontId="61" fillId="0" borderId="0" xfId="0" applyNumberFormat="1" applyFont="1" applyBorder="1" applyAlignment="1">
      <alignment horizontal="left" vertical="center"/>
    </xf>
    <xf numFmtId="199" fontId="62" fillId="0" borderId="0" xfId="0" applyNumberFormat="1" applyFont="1" applyFill="1" applyBorder="1" applyAlignment="1">
      <alignment horizontal="left" vertical="center"/>
    </xf>
    <xf numFmtId="200" fontId="62" fillId="0" borderId="0" xfId="0" applyNumberFormat="1" applyFont="1" applyFill="1" applyBorder="1" applyAlignment="1">
      <alignment horizontal="left" vertical="center"/>
    </xf>
    <xf numFmtId="233" fontId="83" fillId="0" borderId="37" xfId="0" applyNumberFormat="1" applyFont="1" applyBorder="1" applyAlignment="1">
      <alignment horizontal="center" vertical="center"/>
    </xf>
    <xf numFmtId="233" fontId="83" fillId="0" borderId="121" xfId="0" applyNumberFormat="1" applyFont="1" applyBorder="1" applyAlignment="1">
      <alignment horizontal="center" vertical="center"/>
    </xf>
    <xf numFmtId="3" fontId="87" fillId="0" borderId="130" xfId="0" applyNumberFormat="1" applyFont="1" applyFill="1" applyBorder="1" applyAlignment="1">
      <alignment horizontal="center" vertical="center"/>
    </xf>
    <xf numFmtId="3" fontId="87" fillId="0" borderId="131" xfId="0" applyNumberFormat="1" applyFont="1" applyFill="1" applyBorder="1" applyAlignment="1">
      <alignment horizontal="center" vertical="center"/>
    </xf>
    <xf numFmtId="180" fontId="42" fillId="0" borderId="133" xfId="0" applyNumberFormat="1" applyFont="1" applyBorder="1" applyAlignment="1">
      <alignment horizontal="center" vertical="center"/>
    </xf>
    <xf numFmtId="180" fontId="42" fillId="0" borderId="132" xfId="0" applyNumberFormat="1" applyFont="1" applyBorder="1" applyAlignment="1">
      <alignment horizontal="center" vertical="center"/>
    </xf>
    <xf numFmtId="3" fontId="79" fillId="0" borderId="130" xfId="0" applyNumberFormat="1" applyFont="1" applyFill="1" applyBorder="1" applyAlignment="1">
      <alignment horizontal="center" vertical="center"/>
    </xf>
    <xf numFmtId="3" fontId="79" fillId="0" borderId="134" xfId="0" applyNumberFormat="1" applyFont="1" applyFill="1" applyBorder="1" applyAlignment="1">
      <alignment horizontal="center" vertical="center"/>
    </xf>
    <xf numFmtId="3" fontId="75" fillId="0" borderId="135" xfId="0" applyNumberFormat="1" applyFont="1" applyBorder="1" applyAlignment="1">
      <alignment horizontal="center" vertical="center"/>
    </xf>
    <xf numFmtId="3" fontId="75" fillId="0" borderId="134" xfId="0" applyNumberFormat="1" applyFont="1" applyBorder="1" applyAlignment="1">
      <alignment horizontal="center" vertical="center"/>
    </xf>
    <xf numFmtId="180" fontId="14" fillId="0" borderId="111" xfId="0" applyNumberFormat="1" applyFont="1" applyFill="1" applyBorder="1" applyAlignment="1">
      <alignment horizontal="center" vertical="center"/>
    </xf>
    <xf numFmtId="180" fontId="14" fillId="0" borderId="112" xfId="0" applyNumberFormat="1" applyFont="1" applyFill="1" applyBorder="1" applyAlignment="1">
      <alignment horizontal="center" vertical="center"/>
    </xf>
    <xf numFmtId="232" fontId="84" fillId="0" borderId="21" xfId="0" applyNumberFormat="1" applyFont="1" applyBorder="1" applyAlignment="1">
      <alignment horizontal="center" vertical="center"/>
    </xf>
    <xf numFmtId="232" fontId="84" fillId="0" borderId="122" xfId="0" applyNumberFormat="1" applyFont="1" applyBorder="1" applyAlignment="1">
      <alignment horizontal="center" vertical="center"/>
    </xf>
    <xf numFmtId="232" fontId="84" fillId="0" borderId="116" xfId="0" applyNumberFormat="1" applyFont="1" applyBorder="1" applyAlignment="1">
      <alignment horizontal="center" vertical="center"/>
    </xf>
    <xf numFmtId="180" fontId="62" fillId="0" borderId="109" xfId="0" applyNumberFormat="1" applyFont="1" applyFill="1" applyBorder="1" applyAlignment="1">
      <alignment horizontal="center" vertical="center"/>
    </xf>
    <xf numFmtId="180" fontId="62" fillId="0" borderId="110" xfId="0" applyNumberFormat="1" applyFont="1" applyFill="1" applyBorder="1" applyAlignment="1">
      <alignment horizontal="center" vertical="center"/>
    </xf>
    <xf numFmtId="180" fontId="84" fillId="0" borderId="109" xfId="0" applyNumberFormat="1" applyFont="1" applyBorder="1" applyAlignment="1">
      <alignment horizontal="center" vertical="center"/>
    </xf>
    <xf numFmtId="180" fontId="84" fillId="0" borderId="20" xfId="0" applyNumberFormat="1" applyFont="1" applyBorder="1" applyAlignment="1">
      <alignment horizontal="center" vertical="center"/>
    </xf>
    <xf numFmtId="180" fontId="42" fillId="0" borderId="116" xfId="0" applyNumberFormat="1" applyFont="1" applyBorder="1" applyAlignment="1">
      <alignment horizontal="center" vertical="center"/>
    </xf>
    <xf numFmtId="0" fontId="50" fillId="2" borderId="27" xfId="0" applyFont="1" applyFill="1" applyBorder="1" applyAlignment="1">
      <alignment horizontal="center" vertical="center"/>
    </xf>
    <xf numFmtId="0" fontId="77" fillId="2" borderId="13" xfId="0" applyFont="1" applyFill="1" applyBorder="1" applyAlignment="1">
      <alignment horizontal="center" vertical="center"/>
    </xf>
    <xf numFmtId="0" fontId="77" fillId="2" borderId="35" xfId="0" applyFont="1" applyFill="1" applyBorder="1" applyAlignment="1">
      <alignment horizontal="center" vertical="center"/>
    </xf>
    <xf numFmtId="0" fontId="77" fillId="2" borderId="15" xfId="0" applyFont="1" applyFill="1" applyBorder="1" applyAlignment="1">
      <alignment horizontal="center" vertical="center"/>
    </xf>
    <xf numFmtId="180" fontId="85" fillId="0" borderId="111" xfId="0" applyNumberFormat="1" applyFont="1" applyFill="1" applyBorder="1" applyAlignment="1">
      <alignment horizontal="center" vertical="center"/>
    </xf>
    <xf numFmtId="180" fontId="85" fillId="0" borderId="112" xfId="0" applyNumberFormat="1" applyFont="1" applyFill="1" applyBorder="1" applyAlignment="1">
      <alignment horizontal="center" vertical="center"/>
    </xf>
    <xf numFmtId="180" fontId="42" fillId="0" borderId="115" xfId="0" applyNumberFormat="1" applyFont="1" applyBorder="1" applyAlignment="1">
      <alignment horizontal="center" vertical="center"/>
    </xf>
    <xf numFmtId="180" fontId="42" fillId="0" borderId="111" xfId="0" applyNumberFormat="1" applyFont="1" applyBorder="1" applyAlignment="1">
      <alignment horizontal="center" vertical="center"/>
    </xf>
    <xf numFmtId="232" fontId="82" fillId="0" borderId="105" xfId="0" applyNumberFormat="1" applyFont="1" applyFill="1" applyBorder="1" applyAlignment="1">
      <alignment horizontal="center" vertical="center"/>
    </xf>
    <xf numFmtId="232" fontId="82" fillId="0" borderId="106" xfId="0" applyNumberFormat="1" applyFont="1" applyFill="1" applyBorder="1" applyAlignment="1">
      <alignment horizontal="center" vertical="center"/>
    </xf>
    <xf numFmtId="232" fontId="83" fillId="0" borderId="105" xfId="0" applyNumberFormat="1" applyFont="1" applyBorder="1" applyAlignment="1">
      <alignment horizontal="center" vertical="center"/>
    </xf>
    <xf numFmtId="232" fontId="83" fillId="0" borderId="2" xfId="0" applyNumberFormat="1" applyFont="1" applyBorder="1" applyAlignment="1">
      <alignment horizontal="center" vertical="center"/>
    </xf>
    <xf numFmtId="180" fontId="83" fillId="0" borderId="37" xfId="0" applyNumberFormat="1" applyFont="1" applyBorder="1" applyAlignment="1">
      <alignment horizontal="center" vertical="center"/>
    </xf>
    <xf numFmtId="180" fontId="83" fillId="0" borderId="121" xfId="0" applyNumberFormat="1" applyFont="1" applyBorder="1" applyAlignment="1">
      <alignment horizontal="center" vertical="center"/>
    </xf>
    <xf numFmtId="3" fontId="75" fillId="0" borderId="119" xfId="0" applyNumberFormat="1" applyFont="1" applyBorder="1" applyAlignment="1">
      <alignment horizontal="center" vertical="center"/>
    </xf>
    <xf numFmtId="3" fontId="75" fillId="0" borderId="120" xfId="0" applyNumberFormat="1" applyFont="1" applyBorder="1" applyAlignment="1">
      <alignment horizontal="center" vertical="center"/>
    </xf>
    <xf numFmtId="3" fontId="42" fillId="0" borderId="5" xfId="0" applyNumberFormat="1" applyFont="1" applyBorder="1" applyAlignment="1">
      <alignment horizontal="center" vertical="center" wrapText="1"/>
    </xf>
    <xf numFmtId="3" fontId="42" fillId="0" borderId="34" xfId="0" applyNumberFormat="1" applyFont="1" applyBorder="1" applyAlignment="1">
      <alignment horizontal="center" vertical="center"/>
    </xf>
    <xf numFmtId="232" fontId="84" fillId="0" borderId="117" xfId="0" applyNumberFormat="1" applyFont="1" applyBorder="1" applyAlignment="1">
      <alignment horizontal="center" vertical="center"/>
    </xf>
    <xf numFmtId="197" fontId="75" fillId="0" borderId="37" xfId="0" applyNumberFormat="1" applyFont="1" applyBorder="1" applyAlignment="1">
      <alignment horizontal="center" vertical="center"/>
    </xf>
    <xf numFmtId="197" fontId="75" fillId="0" borderId="106" xfId="0" applyNumberFormat="1" applyFont="1" applyBorder="1" applyAlignment="1">
      <alignment horizontal="center" vertical="center"/>
    </xf>
    <xf numFmtId="3" fontId="75" fillId="0" borderId="109" xfId="0" applyNumberFormat="1" applyFont="1" applyFill="1" applyBorder="1" applyAlignment="1">
      <alignment horizontal="center" vertical="center"/>
    </xf>
    <xf numFmtId="3" fontId="75" fillId="0" borderId="20" xfId="0" applyNumberFormat="1" applyFont="1" applyFill="1" applyBorder="1" applyAlignment="1">
      <alignment horizontal="center" vertical="center"/>
    </xf>
    <xf numFmtId="3" fontId="75" fillId="0" borderId="118" xfId="0" applyNumberFormat="1" applyFont="1" applyBorder="1" applyAlignment="1">
      <alignment horizontal="center" vertical="center"/>
    </xf>
    <xf numFmtId="180" fontId="42" fillId="0" borderId="117" xfId="0" applyNumberFormat="1" applyFont="1" applyBorder="1" applyAlignment="1">
      <alignment horizontal="center" vertical="center"/>
    </xf>
    <xf numFmtId="232" fontId="62" fillId="0" borderId="111" xfId="0" applyNumberFormat="1" applyFont="1" applyFill="1" applyBorder="1" applyAlignment="1">
      <alignment horizontal="center" vertical="center"/>
    </xf>
    <xf numFmtId="232" fontId="62" fillId="0" borderId="112" xfId="0" applyNumberFormat="1" applyFont="1" applyFill="1" applyBorder="1" applyAlignment="1">
      <alignment horizontal="center" vertical="center"/>
    </xf>
    <xf numFmtId="232" fontId="84" fillId="0" borderId="115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48"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color theme="1" tint="0.499984740745262"/>
      </font>
      <numFmt numFmtId="242" formatCode="&quot;E &quot;#,##0%"/>
    </dxf>
    <dxf>
      <font>
        <color theme="0" tint="-0.499984740745262"/>
      </font>
      <numFmt numFmtId="243" formatCode="&quot;E &quot;#,##0"/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  <dxf>
      <font>
        <b/>
        <i val="0"/>
        <u/>
      </font>
      <fill>
        <patternFill>
          <bgColor rgb="FFFDEFE7"/>
        </patternFill>
      </fill>
    </dxf>
  </dxfs>
  <tableStyles count="0" defaultTableStyle="TableStyleMedium2" defaultPivotStyle="PivotStyleLight16"/>
  <colors>
    <mruColors>
      <color rgb="FFF2ACC0"/>
      <color rgb="FF000000"/>
      <color rgb="FFFBE5D6"/>
      <color rgb="FFEF899F"/>
      <color rgb="FFFDE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0"/>
          <c:tx>
            <c:strRef>
              <c:f>b_line!$B$9</c:f>
              <c:strCache>
                <c:ptCount val="1"/>
                <c:pt idx="0">
                  <c:v>마르지엘라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[0]!범위_마르지엘라</c:f>
              <c:numCache>
                <c:formatCode>#,##0</c:formatCode>
                <c:ptCount val="45"/>
                <c:pt idx="0">
                  <c:v>1532</c:v>
                </c:pt>
                <c:pt idx="1">
                  <c:v>1116</c:v>
                </c:pt>
                <c:pt idx="2">
                  <c:v>632</c:v>
                </c:pt>
                <c:pt idx="3">
                  <c:v>575</c:v>
                </c:pt>
                <c:pt idx="4">
                  <c:v>573</c:v>
                </c:pt>
                <c:pt idx="5">
                  <c:v>610</c:v>
                </c:pt>
                <c:pt idx="6">
                  <c:v>747</c:v>
                </c:pt>
                <c:pt idx="7">
                  <c:v>787</c:v>
                </c:pt>
                <c:pt idx="8">
                  <c:v>0</c:v>
                </c:pt>
                <c:pt idx="9">
                  <c:v>349</c:v>
                </c:pt>
                <c:pt idx="10">
                  <c:v>367</c:v>
                </c:pt>
                <c:pt idx="11">
                  <c:v>302</c:v>
                </c:pt>
                <c:pt idx="12">
                  <c:v>339</c:v>
                </c:pt>
                <c:pt idx="13">
                  <c:v>415</c:v>
                </c:pt>
                <c:pt idx="14">
                  <c:v>1098</c:v>
                </c:pt>
                <c:pt idx="15">
                  <c:v>959</c:v>
                </c:pt>
                <c:pt idx="16">
                  <c:v>395</c:v>
                </c:pt>
                <c:pt idx="17">
                  <c:v>350</c:v>
                </c:pt>
                <c:pt idx="18">
                  <c:v>424</c:v>
                </c:pt>
                <c:pt idx="19">
                  <c:v>407</c:v>
                </c:pt>
                <c:pt idx="20">
                  <c:v>462</c:v>
                </c:pt>
                <c:pt idx="21">
                  <c:v>1337</c:v>
                </c:pt>
                <c:pt idx="22">
                  <c:v>928</c:v>
                </c:pt>
                <c:pt idx="23">
                  <c:v>420</c:v>
                </c:pt>
                <c:pt idx="24">
                  <c:v>382</c:v>
                </c:pt>
                <c:pt idx="25">
                  <c:v>365</c:v>
                </c:pt>
                <c:pt idx="26">
                  <c:v>319</c:v>
                </c:pt>
                <c:pt idx="27">
                  <c:v>510</c:v>
                </c:pt>
                <c:pt idx="28">
                  <c:v>0</c:v>
                </c:pt>
                <c:pt idx="29">
                  <c:v>0</c:v>
                </c:pt>
                <c:pt idx="30">
                  <c:v>809</c:v>
                </c:pt>
                <c:pt idx="31">
                  <c:v>694</c:v>
                </c:pt>
                <c:pt idx="32">
                  <c:v>424</c:v>
                </c:pt>
                <c:pt idx="33">
                  <c:v>406</c:v>
                </c:pt>
                <c:pt idx="34">
                  <c:v>592</c:v>
                </c:pt>
                <c:pt idx="35">
                  <c:v>1310</c:v>
                </c:pt>
                <c:pt idx="36">
                  <c:v>1277</c:v>
                </c:pt>
                <c:pt idx="37">
                  <c:v>695</c:v>
                </c:pt>
                <c:pt idx="38">
                  <c:v>677</c:v>
                </c:pt>
                <c:pt idx="39">
                  <c:v>198</c:v>
                </c:pt>
                <c:pt idx="40">
                  <c:v>186</c:v>
                </c:pt>
                <c:pt idx="41">
                  <c:v>256</c:v>
                </c:pt>
                <c:pt idx="42">
                  <c:v>638</c:v>
                </c:pt>
                <c:pt idx="43">
                  <c:v>507</c:v>
                </c:pt>
                <c:pt idx="44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C-4BB4-B68F-3E14CEB550C0}"/>
            </c:ext>
          </c:extLst>
        </c:ser>
        <c:ser>
          <c:idx val="1"/>
          <c:order val="1"/>
          <c:tx>
            <c:strRef>
              <c:f>b_line!$B$4</c:f>
              <c:strCache>
                <c:ptCount val="1"/>
                <c:pt idx="0">
                  <c:v>바스키아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[0]!범위_바스키아</c:f>
              <c:numCache>
                <c:formatCode>#,##0</c:formatCode>
                <c:ptCount val="45"/>
                <c:pt idx="0">
                  <c:v>899</c:v>
                </c:pt>
                <c:pt idx="1">
                  <c:v>1682</c:v>
                </c:pt>
                <c:pt idx="2">
                  <c:v>1564</c:v>
                </c:pt>
                <c:pt idx="3">
                  <c:v>1409</c:v>
                </c:pt>
                <c:pt idx="4">
                  <c:v>614</c:v>
                </c:pt>
                <c:pt idx="5">
                  <c:v>614</c:v>
                </c:pt>
                <c:pt idx="6">
                  <c:v>727</c:v>
                </c:pt>
                <c:pt idx="7">
                  <c:v>630</c:v>
                </c:pt>
                <c:pt idx="8">
                  <c:v>659</c:v>
                </c:pt>
                <c:pt idx="9">
                  <c:v>1752</c:v>
                </c:pt>
                <c:pt idx="10">
                  <c:v>1355</c:v>
                </c:pt>
                <c:pt idx="11">
                  <c:v>540</c:v>
                </c:pt>
                <c:pt idx="12">
                  <c:v>547</c:v>
                </c:pt>
                <c:pt idx="13">
                  <c:v>572</c:v>
                </c:pt>
                <c:pt idx="14">
                  <c:v>450</c:v>
                </c:pt>
                <c:pt idx="15">
                  <c:v>676</c:v>
                </c:pt>
                <c:pt idx="16">
                  <c:v>1741</c:v>
                </c:pt>
                <c:pt idx="17">
                  <c:v>1210</c:v>
                </c:pt>
                <c:pt idx="18">
                  <c:v>649</c:v>
                </c:pt>
                <c:pt idx="19">
                  <c:v>491</c:v>
                </c:pt>
                <c:pt idx="20">
                  <c:v>694</c:v>
                </c:pt>
                <c:pt idx="21">
                  <c:v>558</c:v>
                </c:pt>
                <c:pt idx="22">
                  <c:v>765</c:v>
                </c:pt>
                <c:pt idx="23">
                  <c:v>1617</c:v>
                </c:pt>
                <c:pt idx="24">
                  <c:v>1241</c:v>
                </c:pt>
                <c:pt idx="25">
                  <c:v>480</c:v>
                </c:pt>
                <c:pt idx="26">
                  <c:v>566</c:v>
                </c:pt>
                <c:pt idx="27">
                  <c:v>616</c:v>
                </c:pt>
                <c:pt idx="28">
                  <c:v>549</c:v>
                </c:pt>
                <c:pt idx="29">
                  <c:v>740</c:v>
                </c:pt>
                <c:pt idx="30">
                  <c:v>1556</c:v>
                </c:pt>
                <c:pt idx="31">
                  <c:v>1267</c:v>
                </c:pt>
                <c:pt idx="32">
                  <c:v>719</c:v>
                </c:pt>
                <c:pt idx="33">
                  <c:v>500</c:v>
                </c:pt>
                <c:pt idx="34">
                  <c:v>715</c:v>
                </c:pt>
                <c:pt idx="35">
                  <c:v>606</c:v>
                </c:pt>
                <c:pt idx="36">
                  <c:v>985</c:v>
                </c:pt>
                <c:pt idx="37">
                  <c:v>1776</c:v>
                </c:pt>
                <c:pt idx="38">
                  <c:v>1300</c:v>
                </c:pt>
                <c:pt idx="39">
                  <c:v>617</c:v>
                </c:pt>
                <c:pt idx="40">
                  <c:v>579</c:v>
                </c:pt>
                <c:pt idx="41">
                  <c:v>697</c:v>
                </c:pt>
                <c:pt idx="42">
                  <c:v>561</c:v>
                </c:pt>
                <c:pt idx="43">
                  <c:v>755</c:v>
                </c:pt>
                <c:pt idx="44">
                  <c:v>1461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C-4BB4-B68F-3E14CEB550C0}"/>
            </c:ext>
          </c:extLst>
        </c:ser>
        <c:ser>
          <c:idx val="2"/>
          <c:order val="2"/>
          <c:tx>
            <c:strRef>
              <c:f>b_line!$B$5</c:f>
              <c:strCache>
                <c:ptCount val="1"/>
                <c:pt idx="0">
                  <c:v>김정기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[0]!범위_김정기</c:f>
              <c:numCache>
                <c:formatCode>#,##0</c:formatCode>
                <c:ptCount val="45"/>
                <c:pt idx="0">
                  <c:v>158</c:v>
                </c:pt>
                <c:pt idx="1">
                  <c:v>265</c:v>
                </c:pt>
                <c:pt idx="2">
                  <c:v>151</c:v>
                </c:pt>
                <c:pt idx="3">
                  <c:v>0</c:v>
                </c:pt>
                <c:pt idx="4">
                  <c:v>70</c:v>
                </c:pt>
                <c:pt idx="5">
                  <c:v>69</c:v>
                </c:pt>
                <c:pt idx="6">
                  <c:v>132</c:v>
                </c:pt>
                <c:pt idx="7">
                  <c:v>96</c:v>
                </c:pt>
                <c:pt idx="8">
                  <c:v>254</c:v>
                </c:pt>
                <c:pt idx="9">
                  <c:v>164</c:v>
                </c:pt>
                <c:pt idx="10">
                  <c:v>106</c:v>
                </c:pt>
                <c:pt idx="11">
                  <c:v>54</c:v>
                </c:pt>
                <c:pt idx="12">
                  <c:v>90</c:v>
                </c:pt>
                <c:pt idx="13">
                  <c:v>104</c:v>
                </c:pt>
                <c:pt idx="14">
                  <c:v>99</c:v>
                </c:pt>
                <c:pt idx="15">
                  <c:v>281</c:v>
                </c:pt>
                <c:pt idx="16">
                  <c:v>236</c:v>
                </c:pt>
                <c:pt idx="17">
                  <c:v>105</c:v>
                </c:pt>
                <c:pt idx="18">
                  <c:v>93</c:v>
                </c:pt>
                <c:pt idx="19">
                  <c:v>217</c:v>
                </c:pt>
                <c:pt idx="20">
                  <c:v>121</c:v>
                </c:pt>
                <c:pt idx="21">
                  <c:v>76</c:v>
                </c:pt>
                <c:pt idx="22">
                  <c:v>283</c:v>
                </c:pt>
                <c:pt idx="23">
                  <c:v>229</c:v>
                </c:pt>
                <c:pt idx="24">
                  <c:v>80</c:v>
                </c:pt>
                <c:pt idx="25">
                  <c:v>56</c:v>
                </c:pt>
                <c:pt idx="26">
                  <c:v>55</c:v>
                </c:pt>
                <c:pt idx="27">
                  <c:v>61</c:v>
                </c:pt>
                <c:pt idx="28">
                  <c:v>86</c:v>
                </c:pt>
                <c:pt idx="29">
                  <c:v>283</c:v>
                </c:pt>
                <c:pt idx="30">
                  <c:v>281</c:v>
                </c:pt>
                <c:pt idx="31">
                  <c:v>60</c:v>
                </c:pt>
                <c:pt idx="32">
                  <c:v>83</c:v>
                </c:pt>
                <c:pt idx="33">
                  <c:v>248</c:v>
                </c:pt>
                <c:pt idx="34">
                  <c:v>65</c:v>
                </c:pt>
                <c:pt idx="35">
                  <c:v>192</c:v>
                </c:pt>
                <c:pt idx="36">
                  <c:v>354</c:v>
                </c:pt>
                <c:pt idx="37">
                  <c:v>224</c:v>
                </c:pt>
                <c:pt idx="38">
                  <c:v>0</c:v>
                </c:pt>
                <c:pt idx="39">
                  <c:v>99</c:v>
                </c:pt>
                <c:pt idx="40">
                  <c:v>105</c:v>
                </c:pt>
                <c:pt idx="41">
                  <c:v>51</c:v>
                </c:pt>
                <c:pt idx="42">
                  <c:v>76</c:v>
                </c:pt>
                <c:pt idx="43">
                  <c:v>251</c:v>
                </c:pt>
                <c:pt idx="44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1C-4BB4-B68F-3E14CEB550C0}"/>
            </c:ext>
          </c:extLst>
        </c:ser>
        <c:ser>
          <c:idx val="3"/>
          <c:order val="3"/>
          <c:tx>
            <c:strRef>
              <c:f>b_line!$B$6</c:f>
              <c:strCache>
                <c:ptCount val="1"/>
                <c:pt idx="0">
                  <c:v>드리머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[0]!범위_드리머</c:f>
              <c:numCache>
                <c:formatCode>#,##0</c:formatCode>
                <c:ptCount val="45"/>
                <c:pt idx="0">
                  <c:v>89</c:v>
                </c:pt>
                <c:pt idx="1">
                  <c:v>98</c:v>
                </c:pt>
                <c:pt idx="2">
                  <c:v>188</c:v>
                </c:pt>
                <c:pt idx="3">
                  <c:v>158</c:v>
                </c:pt>
                <c:pt idx="4">
                  <c:v>181</c:v>
                </c:pt>
                <c:pt idx="5">
                  <c:v>36</c:v>
                </c:pt>
                <c:pt idx="6">
                  <c:v>60</c:v>
                </c:pt>
                <c:pt idx="7">
                  <c:v>73</c:v>
                </c:pt>
                <c:pt idx="8">
                  <c:v>110</c:v>
                </c:pt>
                <c:pt idx="9">
                  <c:v>344</c:v>
                </c:pt>
                <c:pt idx="10">
                  <c:v>356</c:v>
                </c:pt>
                <c:pt idx="11">
                  <c:v>225</c:v>
                </c:pt>
                <c:pt idx="12">
                  <c:v>38</c:v>
                </c:pt>
                <c:pt idx="13">
                  <c:v>72</c:v>
                </c:pt>
                <c:pt idx="14">
                  <c:v>44</c:v>
                </c:pt>
                <c:pt idx="15">
                  <c:v>82</c:v>
                </c:pt>
                <c:pt idx="16">
                  <c:v>331</c:v>
                </c:pt>
                <c:pt idx="17">
                  <c:v>265</c:v>
                </c:pt>
                <c:pt idx="18">
                  <c:v>0</c:v>
                </c:pt>
                <c:pt idx="19">
                  <c:v>60</c:v>
                </c:pt>
                <c:pt idx="20">
                  <c:v>65</c:v>
                </c:pt>
                <c:pt idx="21">
                  <c:v>64</c:v>
                </c:pt>
                <c:pt idx="22">
                  <c:v>110</c:v>
                </c:pt>
                <c:pt idx="23">
                  <c:v>320</c:v>
                </c:pt>
                <c:pt idx="24">
                  <c:v>280</c:v>
                </c:pt>
                <c:pt idx="25">
                  <c:v>78</c:v>
                </c:pt>
                <c:pt idx="26">
                  <c:v>54</c:v>
                </c:pt>
                <c:pt idx="27">
                  <c:v>176</c:v>
                </c:pt>
                <c:pt idx="28">
                  <c:v>55</c:v>
                </c:pt>
                <c:pt idx="29">
                  <c:v>134</c:v>
                </c:pt>
                <c:pt idx="30">
                  <c:v>349</c:v>
                </c:pt>
                <c:pt idx="31">
                  <c:v>407</c:v>
                </c:pt>
                <c:pt idx="32">
                  <c:v>60</c:v>
                </c:pt>
                <c:pt idx="33">
                  <c:v>61</c:v>
                </c:pt>
                <c:pt idx="34">
                  <c:v>96</c:v>
                </c:pt>
                <c:pt idx="35">
                  <c:v>85</c:v>
                </c:pt>
                <c:pt idx="36">
                  <c:v>155</c:v>
                </c:pt>
                <c:pt idx="37">
                  <c:v>372</c:v>
                </c:pt>
                <c:pt idx="38">
                  <c:v>355</c:v>
                </c:pt>
                <c:pt idx="39">
                  <c:v>0</c:v>
                </c:pt>
                <c:pt idx="40">
                  <c:v>106</c:v>
                </c:pt>
                <c:pt idx="41">
                  <c:v>157</c:v>
                </c:pt>
                <c:pt idx="42">
                  <c:v>133</c:v>
                </c:pt>
                <c:pt idx="43">
                  <c:v>177</c:v>
                </c:pt>
                <c:pt idx="44">
                  <c:v>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1C-4BB4-B68F-3E14CEB550C0}"/>
            </c:ext>
          </c:extLst>
        </c:ser>
        <c:ser>
          <c:idx val="4"/>
          <c:order val="4"/>
          <c:tx>
            <c:strRef>
              <c:f>b_line!$B$7</c:f>
              <c:strCache>
                <c:ptCount val="1"/>
                <c:pt idx="0">
                  <c:v>알렉스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[0]!범위_알렉스</c:f>
              <c:numCache>
                <c:formatCode>#,##0</c:formatCode>
                <c:ptCount val="45"/>
                <c:pt idx="0">
                  <c:v>285</c:v>
                </c:pt>
                <c:pt idx="1">
                  <c:v>356</c:v>
                </c:pt>
                <c:pt idx="2">
                  <c:v>130</c:v>
                </c:pt>
                <c:pt idx="3">
                  <c:v>107</c:v>
                </c:pt>
                <c:pt idx="4">
                  <c:v>143</c:v>
                </c:pt>
                <c:pt idx="5">
                  <c:v>509</c:v>
                </c:pt>
                <c:pt idx="6">
                  <c:v>390</c:v>
                </c:pt>
                <c:pt idx="7">
                  <c:v>0</c:v>
                </c:pt>
                <c:pt idx="8">
                  <c:v>129</c:v>
                </c:pt>
                <c:pt idx="9">
                  <c:v>469</c:v>
                </c:pt>
                <c:pt idx="10">
                  <c:v>135</c:v>
                </c:pt>
                <c:pt idx="11">
                  <c:v>181</c:v>
                </c:pt>
                <c:pt idx="12">
                  <c:v>569</c:v>
                </c:pt>
                <c:pt idx="13">
                  <c:v>470</c:v>
                </c:pt>
                <c:pt idx="14">
                  <c:v>131</c:v>
                </c:pt>
                <c:pt idx="15">
                  <c:v>137</c:v>
                </c:pt>
                <c:pt idx="16">
                  <c:v>174</c:v>
                </c:pt>
                <c:pt idx="17">
                  <c:v>119</c:v>
                </c:pt>
                <c:pt idx="18">
                  <c:v>230</c:v>
                </c:pt>
                <c:pt idx="19">
                  <c:v>661</c:v>
                </c:pt>
                <c:pt idx="20">
                  <c:v>559</c:v>
                </c:pt>
                <c:pt idx="21">
                  <c:v>202</c:v>
                </c:pt>
                <c:pt idx="22">
                  <c:v>184</c:v>
                </c:pt>
                <c:pt idx="23">
                  <c:v>128</c:v>
                </c:pt>
                <c:pt idx="24">
                  <c:v>160</c:v>
                </c:pt>
                <c:pt idx="25">
                  <c:v>203</c:v>
                </c:pt>
                <c:pt idx="26">
                  <c:v>841</c:v>
                </c:pt>
                <c:pt idx="27">
                  <c:v>701</c:v>
                </c:pt>
                <c:pt idx="28">
                  <c:v>250</c:v>
                </c:pt>
                <c:pt idx="29">
                  <c:v>240</c:v>
                </c:pt>
                <c:pt idx="30">
                  <c:v>419</c:v>
                </c:pt>
                <c:pt idx="31">
                  <c:v>457</c:v>
                </c:pt>
                <c:pt idx="32">
                  <c:v>210</c:v>
                </c:pt>
                <c:pt idx="33">
                  <c:v>558</c:v>
                </c:pt>
                <c:pt idx="34">
                  <c:v>423</c:v>
                </c:pt>
                <c:pt idx="35">
                  <c:v>160</c:v>
                </c:pt>
                <c:pt idx="36">
                  <c:v>194</c:v>
                </c:pt>
                <c:pt idx="37">
                  <c:v>163</c:v>
                </c:pt>
                <c:pt idx="38">
                  <c:v>182</c:v>
                </c:pt>
                <c:pt idx="39">
                  <c:v>274</c:v>
                </c:pt>
                <c:pt idx="40">
                  <c:v>656</c:v>
                </c:pt>
                <c:pt idx="41">
                  <c:v>406</c:v>
                </c:pt>
                <c:pt idx="42">
                  <c:v>173</c:v>
                </c:pt>
                <c:pt idx="43">
                  <c:v>170</c:v>
                </c:pt>
                <c:pt idx="44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1C-4BB4-B68F-3E14CEB550C0}"/>
            </c:ext>
          </c:extLst>
        </c:ser>
        <c:ser>
          <c:idx val="5"/>
          <c:order val="5"/>
          <c:tx>
            <c:strRef>
              <c:f>b_line!$B$8</c:f>
              <c:strCache>
                <c:ptCount val="1"/>
                <c:pt idx="0">
                  <c:v>페어리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[0]!범위_페어리</c:f>
              <c:numCache>
                <c:formatCode>#,##0</c:formatCode>
                <c:ptCount val="45"/>
                <c:pt idx="0">
                  <c:v>342</c:v>
                </c:pt>
                <c:pt idx="1">
                  <c:v>453</c:v>
                </c:pt>
                <c:pt idx="2">
                  <c:v>338</c:v>
                </c:pt>
                <c:pt idx="3">
                  <c:v>212</c:v>
                </c:pt>
                <c:pt idx="4">
                  <c:v>211</c:v>
                </c:pt>
                <c:pt idx="5">
                  <c:v>302</c:v>
                </c:pt>
                <c:pt idx="6">
                  <c:v>232</c:v>
                </c:pt>
                <c:pt idx="7">
                  <c:v>240</c:v>
                </c:pt>
                <c:pt idx="8">
                  <c:v>489</c:v>
                </c:pt>
                <c:pt idx="9">
                  <c:v>417</c:v>
                </c:pt>
                <c:pt idx="10">
                  <c:v>230</c:v>
                </c:pt>
                <c:pt idx="11">
                  <c:v>146</c:v>
                </c:pt>
                <c:pt idx="12">
                  <c:v>226</c:v>
                </c:pt>
                <c:pt idx="13">
                  <c:v>181</c:v>
                </c:pt>
                <c:pt idx="14">
                  <c:v>221</c:v>
                </c:pt>
                <c:pt idx="15">
                  <c:v>453</c:v>
                </c:pt>
                <c:pt idx="16">
                  <c:v>438</c:v>
                </c:pt>
                <c:pt idx="17">
                  <c:v>474</c:v>
                </c:pt>
                <c:pt idx="18">
                  <c:v>215</c:v>
                </c:pt>
                <c:pt idx="19">
                  <c:v>155</c:v>
                </c:pt>
                <c:pt idx="20">
                  <c:v>183</c:v>
                </c:pt>
                <c:pt idx="21">
                  <c:v>226</c:v>
                </c:pt>
                <c:pt idx="22">
                  <c:v>507</c:v>
                </c:pt>
                <c:pt idx="23">
                  <c:v>395</c:v>
                </c:pt>
                <c:pt idx="24">
                  <c:v>30</c:v>
                </c:pt>
                <c:pt idx="25">
                  <c:v>210</c:v>
                </c:pt>
                <c:pt idx="26">
                  <c:v>194</c:v>
                </c:pt>
                <c:pt idx="27">
                  <c:v>212</c:v>
                </c:pt>
                <c:pt idx="28">
                  <c:v>296</c:v>
                </c:pt>
                <c:pt idx="29">
                  <c:v>602</c:v>
                </c:pt>
                <c:pt idx="30">
                  <c:v>577</c:v>
                </c:pt>
                <c:pt idx="31">
                  <c:v>254</c:v>
                </c:pt>
                <c:pt idx="32">
                  <c:v>212</c:v>
                </c:pt>
                <c:pt idx="33">
                  <c:v>349</c:v>
                </c:pt>
                <c:pt idx="34">
                  <c:v>87</c:v>
                </c:pt>
                <c:pt idx="35">
                  <c:v>163</c:v>
                </c:pt>
                <c:pt idx="36">
                  <c:v>373</c:v>
                </c:pt>
                <c:pt idx="37">
                  <c:v>275</c:v>
                </c:pt>
                <c:pt idx="38">
                  <c:v>96</c:v>
                </c:pt>
                <c:pt idx="39">
                  <c:v>76</c:v>
                </c:pt>
                <c:pt idx="40">
                  <c:v>138</c:v>
                </c:pt>
                <c:pt idx="41">
                  <c:v>127</c:v>
                </c:pt>
                <c:pt idx="42">
                  <c:v>0</c:v>
                </c:pt>
                <c:pt idx="43">
                  <c:v>0</c:v>
                </c:pt>
                <c:pt idx="44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1C-4BB4-B68F-3E14CEB550C0}"/>
            </c:ext>
          </c:extLst>
        </c:ser>
        <c:ser>
          <c:idx val="7"/>
          <c:order val="6"/>
          <c:tx>
            <c:strRef>
              <c:f>b_line!$B$10</c:f>
              <c:strCache>
                <c:ptCount val="1"/>
                <c:pt idx="0">
                  <c:v>제이알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[0]!범위_제이알</c:f>
              <c:numCache>
                <c:formatCode>#,##0</c:formatCode>
                <c:ptCount val="45"/>
                <c:pt idx="0">
                  <c:v>106</c:v>
                </c:pt>
                <c:pt idx="1">
                  <c:v>107</c:v>
                </c:pt>
                <c:pt idx="2">
                  <c:v>287</c:v>
                </c:pt>
                <c:pt idx="3">
                  <c:v>205</c:v>
                </c:pt>
                <c:pt idx="4">
                  <c:v>115</c:v>
                </c:pt>
                <c:pt idx="5">
                  <c:v>64</c:v>
                </c:pt>
                <c:pt idx="6">
                  <c:v>106</c:v>
                </c:pt>
                <c:pt idx="7">
                  <c:v>54</c:v>
                </c:pt>
                <c:pt idx="8">
                  <c:v>96</c:v>
                </c:pt>
                <c:pt idx="9">
                  <c:v>101</c:v>
                </c:pt>
                <c:pt idx="10">
                  <c:v>282</c:v>
                </c:pt>
                <c:pt idx="11">
                  <c:v>173</c:v>
                </c:pt>
                <c:pt idx="12">
                  <c:v>85</c:v>
                </c:pt>
                <c:pt idx="13">
                  <c:v>84</c:v>
                </c:pt>
                <c:pt idx="14">
                  <c:v>111</c:v>
                </c:pt>
                <c:pt idx="15">
                  <c:v>107</c:v>
                </c:pt>
                <c:pt idx="16">
                  <c:v>134</c:v>
                </c:pt>
                <c:pt idx="17">
                  <c:v>213</c:v>
                </c:pt>
                <c:pt idx="18">
                  <c:v>184</c:v>
                </c:pt>
                <c:pt idx="19">
                  <c:v>59</c:v>
                </c:pt>
                <c:pt idx="20">
                  <c:v>100</c:v>
                </c:pt>
                <c:pt idx="21">
                  <c:v>73</c:v>
                </c:pt>
                <c:pt idx="22">
                  <c:v>97</c:v>
                </c:pt>
                <c:pt idx="23">
                  <c:v>112</c:v>
                </c:pt>
                <c:pt idx="24">
                  <c:v>266</c:v>
                </c:pt>
                <c:pt idx="25">
                  <c:v>204</c:v>
                </c:pt>
                <c:pt idx="26">
                  <c:v>200</c:v>
                </c:pt>
                <c:pt idx="27">
                  <c:v>68</c:v>
                </c:pt>
                <c:pt idx="28">
                  <c:v>128</c:v>
                </c:pt>
                <c:pt idx="29">
                  <c:v>54</c:v>
                </c:pt>
                <c:pt idx="30">
                  <c:v>122</c:v>
                </c:pt>
                <c:pt idx="31">
                  <c:v>157</c:v>
                </c:pt>
                <c:pt idx="32">
                  <c:v>164</c:v>
                </c:pt>
                <c:pt idx="33">
                  <c:v>125</c:v>
                </c:pt>
                <c:pt idx="34">
                  <c:v>131</c:v>
                </c:pt>
                <c:pt idx="35">
                  <c:v>83</c:v>
                </c:pt>
                <c:pt idx="36">
                  <c:v>97</c:v>
                </c:pt>
                <c:pt idx="37">
                  <c:v>68</c:v>
                </c:pt>
                <c:pt idx="38">
                  <c:v>195</c:v>
                </c:pt>
                <c:pt idx="39">
                  <c:v>158</c:v>
                </c:pt>
                <c:pt idx="40">
                  <c:v>25</c:v>
                </c:pt>
                <c:pt idx="41">
                  <c:v>122</c:v>
                </c:pt>
                <c:pt idx="42">
                  <c:v>102</c:v>
                </c:pt>
                <c:pt idx="43">
                  <c:v>74</c:v>
                </c:pt>
                <c:pt idx="44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1C-4BB4-B68F-3E14CEB550C0}"/>
            </c:ext>
          </c:extLst>
        </c:ser>
        <c:ser>
          <c:idx val="8"/>
          <c:order val="7"/>
          <c:tx>
            <c:strRef>
              <c:f>b_line!$B$11</c:f>
              <c:strCache>
                <c:ptCount val="1"/>
                <c:pt idx="0">
                  <c:v>오스틴 리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[0]!범위_오스틴리</c:f>
              <c:numCache>
                <c:formatCode>#,##0</c:formatCode>
                <c:ptCount val="45"/>
                <c:pt idx="0">
                  <c:v>227</c:v>
                </c:pt>
                <c:pt idx="1">
                  <c:v>274</c:v>
                </c:pt>
                <c:pt idx="2">
                  <c:v>124</c:v>
                </c:pt>
                <c:pt idx="3">
                  <c:v>105</c:v>
                </c:pt>
                <c:pt idx="4">
                  <c:v>413</c:v>
                </c:pt>
                <c:pt idx="5">
                  <c:v>305</c:v>
                </c:pt>
                <c:pt idx="6">
                  <c:v>349</c:v>
                </c:pt>
                <c:pt idx="7">
                  <c:v>336</c:v>
                </c:pt>
                <c:pt idx="8">
                  <c:v>120</c:v>
                </c:pt>
                <c:pt idx="9">
                  <c:v>96</c:v>
                </c:pt>
                <c:pt idx="10">
                  <c:v>202</c:v>
                </c:pt>
                <c:pt idx="11">
                  <c:v>383</c:v>
                </c:pt>
                <c:pt idx="12">
                  <c:v>404</c:v>
                </c:pt>
                <c:pt idx="13">
                  <c:v>371</c:v>
                </c:pt>
                <c:pt idx="14">
                  <c:v>126</c:v>
                </c:pt>
                <c:pt idx="15">
                  <c:v>99</c:v>
                </c:pt>
                <c:pt idx="16">
                  <c:v>236</c:v>
                </c:pt>
                <c:pt idx="17">
                  <c:v>189</c:v>
                </c:pt>
                <c:pt idx="18">
                  <c:v>567</c:v>
                </c:pt>
                <c:pt idx="19">
                  <c:v>341</c:v>
                </c:pt>
                <c:pt idx="20">
                  <c:v>0</c:v>
                </c:pt>
                <c:pt idx="21">
                  <c:v>114</c:v>
                </c:pt>
                <c:pt idx="22">
                  <c:v>129</c:v>
                </c:pt>
                <c:pt idx="23">
                  <c:v>159</c:v>
                </c:pt>
                <c:pt idx="24">
                  <c:v>203</c:v>
                </c:pt>
                <c:pt idx="25">
                  <c:v>525</c:v>
                </c:pt>
                <c:pt idx="26">
                  <c:v>353</c:v>
                </c:pt>
                <c:pt idx="27">
                  <c:v>163</c:v>
                </c:pt>
                <c:pt idx="28">
                  <c:v>105</c:v>
                </c:pt>
                <c:pt idx="29">
                  <c:v>130</c:v>
                </c:pt>
                <c:pt idx="30">
                  <c:v>120</c:v>
                </c:pt>
                <c:pt idx="31">
                  <c:v>177</c:v>
                </c:pt>
                <c:pt idx="32">
                  <c:v>326</c:v>
                </c:pt>
                <c:pt idx="33">
                  <c:v>320</c:v>
                </c:pt>
                <c:pt idx="34">
                  <c:v>94</c:v>
                </c:pt>
                <c:pt idx="35">
                  <c:v>122</c:v>
                </c:pt>
                <c:pt idx="36">
                  <c:v>127</c:v>
                </c:pt>
                <c:pt idx="37">
                  <c:v>95</c:v>
                </c:pt>
                <c:pt idx="38">
                  <c:v>151</c:v>
                </c:pt>
                <c:pt idx="39">
                  <c:v>487</c:v>
                </c:pt>
                <c:pt idx="40">
                  <c:v>427</c:v>
                </c:pt>
                <c:pt idx="41">
                  <c:v>0</c:v>
                </c:pt>
                <c:pt idx="42">
                  <c:v>135</c:v>
                </c:pt>
                <c:pt idx="43">
                  <c:v>161</c:v>
                </c:pt>
                <c:pt idx="4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1C-4BB4-B68F-3E14CEB550C0}"/>
            </c:ext>
          </c:extLst>
        </c:ser>
        <c:ser>
          <c:idx val="9"/>
          <c:order val="8"/>
          <c:tx>
            <c:strRef>
              <c:f>b_line!$B$12</c:f>
              <c:strCache>
                <c:ptCount val="1"/>
                <c:pt idx="0">
                  <c:v>윤협</c:v>
                </c:pt>
              </c:strCache>
            </c:strRef>
          </c:tx>
          <c:spPr>
            <a:ln w="3810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[0]!범위_윤협</c:f>
              <c:numCache>
                <c:formatCode>#,##0</c:formatCode>
                <c:ptCount val="45"/>
                <c:pt idx="0">
                  <c:v>626</c:v>
                </c:pt>
                <c:pt idx="1">
                  <c:v>389</c:v>
                </c:pt>
                <c:pt idx="2">
                  <c:v>135</c:v>
                </c:pt>
                <c:pt idx="3">
                  <c:v>161</c:v>
                </c:pt>
                <c:pt idx="4">
                  <c:v>175</c:v>
                </c:pt>
                <c:pt idx="5">
                  <c:v>140</c:v>
                </c:pt>
                <c:pt idx="6">
                  <c:v>637</c:v>
                </c:pt>
                <c:pt idx="7">
                  <c:v>452</c:v>
                </c:pt>
                <c:pt idx="8">
                  <c:v>241</c:v>
                </c:pt>
                <c:pt idx="9">
                  <c:v>0</c:v>
                </c:pt>
                <c:pt idx="10">
                  <c:v>98</c:v>
                </c:pt>
                <c:pt idx="11">
                  <c:v>106</c:v>
                </c:pt>
                <c:pt idx="12">
                  <c:v>109</c:v>
                </c:pt>
                <c:pt idx="13">
                  <c:v>102</c:v>
                </c:pt>
                <c:pt idx="14">
                  <c:v>413</c:v>
                </c:pt>
                <c:pt idx="15">
                  <c:v>282</c:v>
                </c:pt>
                <c:pt idx="16">
                  <c:v>114</c:v>
                </c:pt>
                <c:pt idx="17">
                  <c:v>109</c:v>
                </c:pt>
                <c:pt idx="18">
                  <c:v>125</c:v>
                </c:pt>
                <c:pt idx="19">
                  <c:v>86</c:v>
                </c:pt>
                <c:pt idx="20">
                  <c:v>154</c:v>
                </c:pt>
                <c:pt idx="21">
                  <c:v>358</c:v>
                </c:pt>
                <c:pt idx="22">
                  <c:v>298</c:v>
                </c:pt>
                <c:pt idx="23">
                  <c:v>101</c:v>
                </c:pt>
                <c:pt idx="24">
                  <c:v>116</c:v>
                </c:pt>
                <c:pt idx="25">
                  <c:v>176</c:v>
                </c:pt>
                <c:pt idx="26">
                  <c:v>126</c:v>
                </c:pt>
                <c:pt idx="27">
                  <c:v>130</c:v>
                </c:pt>
                <c:pt idx="28">
                  <c:v>347</c:v>
                </c:pt>
                <c:pt idx="29">
                  <c:v>258</c:v>
                </c:pt>
                <c:pt idx="30">
                  <c:v>105</c:v>
                </c:pt>
                <c:pt idx="31">
                  <c:v>90</c:v>
                </c:pt>
                <c:pt idx="32">
                  <c:v>150</c:v>
                </c:pt>
                <c:pt idx="33">
                  <c:v>160</c:v>
                </c:pt>
                <c:pt idx="34">
                  <c:v>117</c:v>
                </c:pt>
                <c:pt idx="35">
                  <c:v>389</c:v>
                </c:pt>
                <c:pt idx="36">
                  <c:v>251</c:v>
                </c:pt>
                <c:pt idx="37">
                  <c:v>88</c:v>
                </c:pt>
                <c:pt idx="38">
                  <c:v>103</c:v>
                </c:pt>
                <c:pt idx="39">
                  <c:v>147</c:v>
                </c:pt>
                <c:pt idx="40">
                  <c:v>116</c:v>
                </c:pt>
                <c:pt idx="41">
                  <c:v>308</c:v>
                </c:pt>
                <c:pt idx="42">
                  <c:v>343</c:v>
                </c:pt>
                <c:pt idx="43">
                  <c:v>302</c:v>
                </c:pt>
                <c:pt idx="44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1C-4BB4-B68F-3E14CEB55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49872"/>
        <c:axId val="-2107751504"/>
      </c:lineChart>
      <c:catAx>
        <c:axId val="-21077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51504"/>
        <c:crosses val="autoZero"/>
        <c:auto val="1"/>
        <c:lblAlgn val="ctr"/>
        <c:lblOffset val="100"/>
        <c:noMultiLvlLbl val="0"/>
      </c:catAx>
      <c:valAx>
        <c:axId val="-210775150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4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나눔바른고딕OTF Light" panose="02000303000000000000" pitchFamily="50" charset="-127"/>
          <a:ea typeface="나눔바른고딕OTF Light" panose="02000303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42800899887515E-2"/>
          <c:y val="2.3753797322740744E-2"/>
          <c:w val="0.93048013940534902"/>
          <c:h val="0.93513510721714344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12700">
              <a:solidFill>
                <a:schemeClr val="bg1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5B-4EC4-B2CE-4416B4C0812D}"/>
              </c:ext>
            </c:extLst>
          </c:dPt>
          <c:dLbls>
            <c:dLbl>
              <c:idx val="8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spc="-130" baseline="0">
                      <a:solidFill>
                        <a:schemeClr val="bg1"/>
                      </a:solidFill>
                      <a:latin typeface="나눔바른고딕OTF" panose="02020603020101020101" pitchFamily="18" charset="-127"/>
                      <a:ea typeface="나눔바른고딕OTF" panose="02020603020101020101" pitchFamily="18" charset="-127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534761279840015E-2"/>
                      <c:h val="6.299344658332009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5B-4EC4-B2CE-4416B4C08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b_stick!$N$6:$N$14</c:f>
              <c:strCache>
                <c:ptCount val="9"/>
                <c:pt idx="0">
                  <c:v>바스키아</c:v>
                </c:pt>
                <c:pt idx="1">
                  <c:v>김정기</c:v>
                </c:pt>
                <c:pt idx="2">
                  <c:v>드리머</c:v>
                </c:pt>
                <c:pt idx="3">
                  <c:v>알렉스</c:v>
                </c:pt>
                <c:pt idx="4">
                  <c:v>페어리</c:v>
                </c:pt>
                <c:pt idx="5">
                  <c:v>마르지엘라</c:v>
                </c:pt>
                <c:pt idx="6">
                  <c:v>제이알</c:v>
                </c:pt>
                <c:pt idx="7">
                  <c:v>오스틴 리</c:v>
                </c:pt>
                <c:pt idx="8">
                  <c:v>윤협</c:v>
                </c:pt>
              </c:strCache>
            </c:strRef>
          </c:cat>
          <c:val>
            <c:numRef>
              <c:f>b_stick!$O$6:$O$14</c:f>
              <c:numCache>
                <c:formatCode>#,##0</c:formatCode>
                <c:ptCount val="9"/>
                <c:pt idx="0">
                  <c:v>40701</c:v>
                </c:pt>
                <c:pt idx="1">
                  <c:v>6321</c:v>
                </c:pt>
                <c:pt idx="2">
                  <c:v>7124</c:v>
                </c:pt>
                <c:pt idx="3">
                  <c:v>13376</c:v>
                </c:pt>
                <c:pt idx="4">
                  <c:v>11852</c:v>
                </c:pt>
                <c:pt idx="5">
                  <c:v>25627</c:v>
                </c:pt>
                <c:pt idx="6">
                  <c:v>5757</c:v>
                </c:pt>
                <c:pt idx="7">
                  <c:v>10016</c:v>
                </c:pt>
                <c:pt idx="8">
                  <c:v>9376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5B-4EC4-B2CE-4416B4C08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overlap val="-27"/>
        <c:axId val="-2107750960"/>
        <c:axId val="-2107757488"/>
      </c:barChart>
      <c:lineChart>
        <c:grouping val="stacked"/>
        <c:varyColors val="0"/>
        <c:ser>
          <c:idx val="1"/>
          <c:order val="1"/>
          <c:spPr>
            <a:ln w="3175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 w="3175">
                <a:solidFill>
                  <a:schemeClr val="bg1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b_stick!$N$6:$N$14</c:f>
              <c:strCache>
                <c:ptCount val="9"/>
                <c:pt idx="0">
                  <c:v>바스키아</c:v>
                </c:pt>
                <c:pt idx="1">
                  <c:v>김정기</c:v>
                </c:pt>
                <c:pt idx="2">
                  <c:v>드리머</c:v>
                </c:pt>
                <c:pt idx="3">
                  <c:v>알렉스</c:v>
                </c:pt>
                <c:pt idx="4">
                  <c:v>페어리</c:v>
                </c:pt>
                <c:pt idx="5">
                  <c:v>마르지엘라</c:v>
                </c:pt>
                <c:pt idx="6">
                  <c:v>제이알</c:v>
                </c:pt>
                <c:pt idx="7">
                  <c:v>오스틴 리</c:v>
                </c:pt>
                <c:pt idx="8">
                  <c:v>윤협</c:v>
                </c:pt>
              </c:strCache>
            </c:strRef>
          </c:cat>
          <c:val>
            <c:numRef>
              <c:f>b_stick!$P$6:$P$14</c:f>
              <c:numCache>
                <c:formatCode>"Av "#,##0</c:formatCode>
                <c:ptCount val="9"/>
                <c:pt idx="0">
                  <c:v>904.4666666666667</c:v>
                </c:pt>
                <c:pt idx="1">
                  <c:v>140.46666666666667</c:v>
                </c:pt>
                <c:pt idx="2">
                  <c:v>158.3111111111111</c:v>
                </c:pt>
                <c:pt idx="3">
                  <c:v>297.24444444444447</c:v>
                </c:pt>
                <c:pt idx="4">
                  <c:v>263.37777777777779</c:v>
                </c:pt>
                <c:pt idx="5">
                  <c:v>569.48888888888894</c:v>
                </c:pt>
                <c:pt idx="6">
                  <c:v>127.93333333333334</c:v>
                </c:pt>
                <c:pt idx="7">
                  <c:v>222.57777777777778</c:v>
                </c:pt>
                <c:pt idx="8">
                  <c:v>208.35555555555555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25B-4EC4-B2CE-4416B4C08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748240"/>
        <c:axId val="-2107750416"/>
      </c:lineChart>
      <c:catAx>
        <c:axId val="-21077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57488"/>
        <c:crosses val="autoZero"/>
        <c:auto val="1"/>
        <c:lblAlgn val="ctr"/>
        <c:lblOffset val="100"/>
        <c:noMultiLvlLbl val="0"/>
      </c:catAx>
      <c:valAx>
        <c:axId val="-2107757488"/>
        <c:scaling>
          <c:orientation val="minMax"/>
          <c:max val="9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50960"/>
        <c:crosses val="autoZero"/>
        <c:crossBetween val="between"/>
      </c:valAx>
      <c:valAx>
        <c:axId val="-2107750416"/>
        <c:scaling>
          <c:orientation val="minMax"/>
          <c:min val="-1500"/>
        </c:scaling>
        <c:delete val="0"/>
        <c:axPos val="r"/>
        <c:numFmt formatCode="&quot;Av 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48240"/>
        <c:crosses val="max"/>
        <c:crossBetween val="between"/>
      </c:valAx>
      <c:catAx>
        <c:axId val="-2107748240"/>
        <c:scaling>
          <c:orientation val="minMax"/>
        </c:scaling>
        <c:delete val="1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나눔바른고딕OTF Light" panose="02000303000000000000" pitchFamily="50" charset="-127"/>
                  <a:ea typeface="나눔바른고딕OTF Light" panose="02000303000000000000" pitchFamily="50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crossAx val="-210775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latin typeface="나눔바른고딕OTF Light" panose="02000303000000000000" pitchFamily="50" charset="-127"/>
          <a:ea typeface="나눔바른고딕OTF Light" panose="02000303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0"/>
          <c:tx>
            <c:strRef>
              <c:f>b_line!$B$9</c:f>
              <c:strCache>
                <c:ptCount val="1"/>
                <c:pt idx="0">
                  <c:v>마르지엘라</c:v>
                </c:pt>
              </c:strCache>
            </c:strRef>
          </c:tx>
          <c:spPr>
            <a:ln w="571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[0]!범위_마르지엘라</c:f>
              <c:numCache>
                <c:formatCode>#,##0</c:formatCode>
                <c:ptCount val="45"/>
                <c:pt idx="0">
                  <c:v>1532</c:v>
                </c:pt>
                <c:pt idx="1">
                  <c:v>1116</c:v>
                </c:pt>
                <c:pt idx="2">
                  <c:v>632</c:v>
                </c:pt>
                <c:pt idx="3">
                  <c:v>575</c:v>
                </c:pt>
                <c:pt idx="4">
                  <c:v>573</c:v>
                </c:pt>
                <c:pt idx="5">
                  <c:v>610</c:v>
                </c:pt>
                <c:pt idx="6">
                  <c:v>747</c:v>
                </c:pt>
                <c:pt idx="7">
                  <c:v>787</c:v>
                </c:pt>
                <c:pt idx="8">
                  <c:v>0</c:v>
                </c:pt>
                <c:pt idx="9">
                  <c:v>349</c:v>
                </c:pt>
                <c:pt idx="10">
                  <c:v>367</c:v>
                </c:pt>
                <c:pt idx="11">
                  <c:v>302</c:v>
                </c:pt>
                <c:pt idx="12">
                  <c:v>339</c:v>
                </c:pt>
                <c:pt idx="13">
                  <c:v>415</c:v>
                </c:pt>
                <c:pt idx="14">
                  <c:v>1098</c:v>
                </c:pt>
                <c:pt idx="15">
                  <c:v>959</c:v>
                </c:pt>
                <c:pt idx="16">
                  <c:v>395</c:v>
                </c:pt>
                <c:pt idx="17">
                  <c:v>350</c:v>
                </c:pt>
                <c:pt idx="18">
                  <c:v>424</c:v>
                </c:pt>
                <c:pt idx="19">
                  <c:v>407</c:v>
                </c:pt>
                <c:pt idx="20">
                  <c:v>462</c:v>
                </c:pt>
                <c:pt idx="21">
                  <c:v>1337</c:v>
                </c:pt>
                <c:pt idx="22">
                  <c:v>928</c:v>
                </c:pt>
                <c:pt idx="23">
                  <c:v>420</c:v>
                </c:pt>
                <c:pt idx="24">
                  <c:v>382</c:v>
                </c:pt>
                <c:pt idx="25">
                  <c:v>365</c:v>
                </c:pt>
                <c:pt idx="26">
                  <c:v>319</c:v>
                </c:pt>
                <c:pt idx="27">
                  <c:v>510</c:v>
                </c:pt>
                <c:pt idx="28">
                  <c:v>0</c:v>
                </c:pt>
                <c:pt idx="29">
                  <c:v>0</c:v>
                </c:pt>
                <c:pt idx="30">
                  <c:v>809</c:v>
                </c:pt>
                <c:pt idx="31">
                  <c:v>694</c:v>
                </c:pt>
                <c:pt idx="32">
                  <c:v>424</c:v>
                </c:pt>
                <c:pt idx="33">
                  <c:v>406</c:v>
                </c:pt>
                <c:pt idx="34">
                  <c:v>592</c:v>
                </c:pt>
                <c:pt idx="35">
                  <c:v>1310</c:v>
                </c:pt>
                <c:pt idx="36">
                  <c:v>1277</c:v>
                </c:pt>
                <c:pt idx="37">
                  <c:v>695</c:v>
                </c:pt>
                <c:pt idx="38">
                  <c:v>677</c:v>
                </c:pt>
                <c:pt idx="39">
                  <c:v>198</c:v>
                </c:pt>
                <c:pt idx="40">
                  <c:v>186</c:v>
                </c:pt>
                <c:pt idx="41">
                  <c:v>256</c:v>
                </c:pt>
                <c:pt idx="42">
                  <c:v>638</c:v>
                </c:pt>
                <c:pt idx="43">
                  <c:v>507</c:v>
                </c:pt>
                <c:pt idx="44">
                  <c:v>258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DC-42A6-9A84-5EFAB6663DE4}"/>
            </c:ext>
          </c:extLst>
        </c:ser>
        <c:ser>
          <c:idx val="1"/>
          <c:order val="1"/>
          <c:tx>
            <c:strRef>
              <c:f>b_line!$B$4</c:f>
              <c:strCache>
                <c:ptCount val="1"/>
                <c:pt idx="0">
                  <c:v>바스키아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[0]!범위_바스키아</c:f>
              <c:numCache>
                <c:formatCode>#,##0</c:formatCode>
                <c:ptCount val="45"/>
                <c:pt idx="0">
                  <c:v>899</c:v>
                </c:pt>
                <c:pt idx="1">
                  <c:v>1682</c:v>
                </c:pt>
                <c:pt idx="2">
                  <c:v>1564</c:v>
                </c:pt>
                <c:pt idx="3">
                  <c:v>1409</c:v>
                </c:pt>
                <c:pt idx="4">
                  <c:v>614</c:v>
                </c:pt>
                <c:pt idx="5">
                  <c:v>614</c:v>
                </c:pt>
                <c:pt idx="6">
                  <c:v>727</c:v>
                </c:pt>
                <c:pt idx="7">
                  <c:v>630</c:v>
                </c:pt>
                <c:pt idx="8">
                  <c:v>659</c:v>
                </c:pt>
                <c:pt idx="9">
                  <c:v>1752</c:v>
                </c:pt>
                <c:pt idx="10">
                  <c:v>1355</c:v>
                </c:pt>
                <c:pt idx="11">
                  <c:v>540</c:v>
                </c:pt>
                <c:pt idx="12">
                  <c:v>547</c:v>
                </c:pt>
                <c:pt idx="13">
                  <c:v>572</c:v>
                </c:pt>
                <c:pt idx="14">
                  <c:v>450</c:v>
                </c:pt>
                <c:pt idx="15">
                  <c:v>676</c:v>
                </c:pt>
                <c:pt idx="16">
                  <c:v>1741</c:v>
                </c:pt>
                <c:pt idx="17">
                  <c:v>1210</c:v>
                </c:pt>
                <c:pt idx="18">
                  <c:v>649</c:v>
                </c:pt>
                <c:pt idx="19">
                  <c:v>491</c:v>
                </c:pt>
                <c:pt idx="20">
                  <c:v>694</c:v>
                </c:pt>
                <c:pt idx="21">
                  <c:v>558</c:v>
                </c:pt>
                <c:pt idx="22">
                  <c:v>765</c:v>
                </c:pt>
                <c:pt idx="23">
                  <c:v>1617</c:v>
                </c:pt>
                <c:pt idx="24">
                  <c:v>1241</c:v>
                </c:pt>
                <c:pt idx="25">
                  <c:v>480</c:v>
                </c:pt>
                <c:pt idx="26">
                  <c:v>566</c:v>
                </c:pt>
                <c:pt idx="27">
                  <c:v>616</c:v>
                </c:pt>
                <c:pt idx="28">
                  <c:v>549</c:v>
                </c:pt>
                <c:pt idx="29">
                  <c:v>740</c:v>
                </c:pt>
                <c:pt idx="30">
                  <c:v>1556</c:v>
                </c:pt>
                <c:pt idx="31">
                  <c:v>1267</c:v>
                </c:pt>
                <c:pt idx="32">
                  <c:v>719</c:v>
                </c:pt>
                <c:pt idx="33">
                  <c:v>500</c:v>
                </c:pt>
                <c:pt idx="34">
                  <c:v>715</c:v>
                </c:pt>
                <c:pt idx="35">
                  <c:v>606</c:v>
                </c:pt>
                <c:pt idx="36">
                  <c:v>985</c:v>
                </c:pt>
                <c:pt idx="37">
                  <c:v>1776</c:v>
                </c:pt>
                <c:pt idx="38">
                  <c:v>1300</c:v>
                </c:pt>
                <c:pt idx="39">
                  <c:v>617</c:v>
                </c:pt>
                <c:pt idx="40">
                  <c:v>579</c:v>
                </c:pt>
                <c:pt idx="41">
                  <c:v>697</c:v>
                </c:pt>
                <c:pt idx="42">
                  <c:v>561</c:v>
                </c:pt>
                <c:pt idx="43">
                  <c:v>755</c:v>
                </c:pt>
                <c:pt idx="44">
                  <c:v>1461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FDC-42A6-9A84-5EFAB6663DE4}"/>
            </c:ext>
          </c:extLst>
        </c:ser>
        <c:ser>
          <c:idx val="2"/>
          <c:order val="2"/>
          <c:tx>
            <c:strRef>
              <c:f>b_line!$B$5</c:f>
              <c:strCache>
                <c:ptCount val="1"/>
                <c:pt idx="0">
                  <c:v>김정기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[0]!범위_김정기</c:f>
              <c:numCache>
                <c:formatCode>#,##0</c:formatCode>
                <c:ptCount val="45"/>
                <c:pt idx="0">
                  <c:v>158</c:v>
                </c:pt>
                <c:pt idx="1">
                  <c:v>265</c:v>
                </c:pt>
                <c:pt idx="2">
                  <c:v>151</c:v>
                </c:pt>
                <c:pt idx="3">
                  <c:v>0</c:v>
                </c:pt>
                <c:pt idx="4">
                  <c:v>70</c:v>
                </c:pt>
                <c:pt idx="5">
                  <c:v>69</c:v>
                </c:pt>
                <c:pt idx="6">
                  <c:v>132</c:v>
                </c:pt>
                <c:pt idx="7">
                  <c:v>96</c:v>
                </c:pt>
                <c:pt idx="8">
                  <c:v>254</c:v>
                </c:pt>
                <c:pt idx="9">
                  <c:v>164</c:v>
                </c:pt>
                <c:pt idx="10">
                  <c:v>106</c:v>
                </c:pt>
                <c:pt idx="11">
                  <c:v>54</c:v>
                </c:pt>
                <c:pt idx="12">
                  <c:v>90</c:v>
                </c:pt>
                <c:pt idx="13">
                  <c:v>104</c:v>
                </c:pt>
                <c:pt idx="14">
                  <c:v>99</c:v>
                </c:pt>
                <c:pt idx="15">
                  <c:v>281</c:v>
                </c:pt>
                <c:pt idx="16">
                  <c:v>236</c:v>
                </c:pt>
                <c:pt idx="17">
                  <c:v>105</c:v>
                </c:pt>
                <c:pt idx="18">
                  <c:v>93</c:v>
                </c:pt>
                <c:pt idx="19">
                  <c:v>217</c:v>
                </c:pt>
                <c:pt idx="20">
                  <c:v>121</c:v>
                </c:pt>
                <c:pt idx="21">
                  <c:v>76</c:v>
                </c:pt>
                <c:pt idx="22">
                  <c:v>283</c:v>
                </c:pt>
                <c:pt idx="23">
                  <c:v>229</c:v>
                </c:pt>
                <c:pt idx="24">
                  <c:v>80</c:v>
                </c:pt>
                <c:pt idx="25">
                  <c:v>56</c:v>
                </c:pt>
                <c:pt idx="26">
                  <c:v>55</c:v>
                </c:pt>
                <c:pt idx="27">
                  <c:v>61</c:v>
                </c:pt>
                <c:pt idx="28">
                  <c:v>86</c:v>
                </c:pt>
                <c:pt idx="29">
                  <c:v>283</c:v>
                </c:pt>
                <c:pt idx="30">
                  <c:v>281</c:v>
                </c:pt>
                <c:pt idx="31">
                  <c:v>60</c:v>
                </c:pt>
                <c:pt idx="32">
                  <c:v>83</c:v>
                </c:pt>
                <c:pt idx="33">
                  <c:v>248</c:v>
                </c:pt>
                <c:pt idx="34">
                  <c:v>65</c:v>
                </c:pt>
                <c:pt idx="35">
                  <c:v>192</c:v>
                </c:pt>
                <c:pt idx="36">
                  <c:v>354</c:v>
                </c:pt>
                <c:pt idx="37">
                  <c:v>224</c:v>
                </c:pt>
                <c:pt idx="38">
                  <c:v>0</c:v>
                </c:pt>
                <c:pt idx="39">
                  <c:v>99</c:v>
                </c:pt>
                <c:pt idx="40">
                  <c:v>105</c:v>
                </c:pt>
                <c:pt idx="41">
                  <c:v>51</c:v>
                </c:pt>
                <c:pt idx="42">
                  <c:v>76</c:v>
                </c:pt>
                <c:pt idx="43">
                  <c:v>251</c:v>
                </c:pt>
                <c:pt idx="44">
                  <c:v>158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FDC-42A6-9A84-5EFAB6663DE4}"/>
            </c:ext>
          </c:extLst>
        </c:ser>
        <c:ser>
          <c:idx val="3"/>
          <c:order val="3"/>
          <c:tx>
            <c:strRef>
              <c:f>b_line!$B$6</c:f>
              <c:strCache>
                <c:ptCount val="1"/>
                <c:pt idx="0">
                  <c:v>드리머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[0]!범위_드리머</c:f>
              <c:numCache>
                <c:formatCode>#,##0</c:formatCode>
                <c:ptCount val="45"/>
                <c:pt idx="0">
                  <c:v>89</c:v>
                </c:pt>
                <c:pt idx="1">
                  <c:v>98</c:v>
                </c:pt>
                <c:pt idx="2">
                  <c:v>188</c:v>
                </c:pt>
                <c:pt idx="3">
                  <c:v>158</c:v>
                </c:pt>
                <c:pt idx="4">
                  <c:v>181</c:v>
                </c:pt>
                <c:pt idx="5">
                  <c:v>36</c:v>
                </c:pt>
                <c:pt idx="6">
                  <c:v>60</c:v>
                </c:pt>
                <c:pt idx="7">
                  <c:v>73</c:v>
                </c:pt>
                <c:pt idx="8">
                  <c:v>110</c:v>
                </c:pt>
                <c:pt idx="9">
                  <c:v>344</c:v>
                </c:pt>
                <c:pt idx="10">
                  <c:v>356</c:v>
                </c:pt>
                <c:pt idx="11">
                  <c:v>225</c:v>
                </c:pt>
                <c:pt idx="12">
                  <c:v>38</c:v>
                </c:pt>
                <c:pt idx="13">
                  <c:v>72</c:v>
                </c:pt>
                <c:pt idx="14">
                  <c:v>44</c:v>
                </c:pt>
                <c:pt idx="15">
                  <c:v>82</c:v>
                </c:pt>
                <c:pt idx="16">
                  <c:v>331</c:v>
                </c:pt>
                <c:pt idx="17">
                  <c:v>265</c:v>
                </c:pt>
                <c:pt idx="18">
                  <c:v>0</c:v>
                </c:pt>
                <c:pt idx="19">
                  <c:v>60</c:v>
                </c:pt>
                <c:pt idx="20">
                  <c:v>65</c:v>
                </c:pt>
                <c:pt idx="21">
                  <c:v>64</c:v>
                </c:pt>
                <c:pt idx="22">
                  <c:v>110</c:v>
                </c:pt>
                <c:pt idx="23">
                  <c:v>320</c:v>
                </c:pt>
                <c:pt idx="24">
                  <c:v>280</c:v>
                </c:pt>
                <c:pt idx="25">
                  <c:v>78</c:v>
                </c:pt>
                <c:pt idx="26">
                  <c:v>54</c:v>
                </c:pt>
                <c:pt idx="27">
                  <c:v>176</c:v>
                </c:pt>
                <c:pt idx="28">
                  <c:v>55</c:v>
                </c:pt>
                <c:pt idx="29">
                  <c:v>134</c:v>
                </c:pt>
                <c:pt idx="30">
                  <c:v>349</c:v>
                </c:pt>
                <c:pt idx="31">
                  <c:v>407</c:v>
                </c:pt>
                <c:pt idx="32">
                  <c:v>60</c:v>
                </c:pt>
                <c:pt idx="33">
                  <c:v>61</c:v>
                </c:pt>
                <c:pt idx="34">
                  <c:v>96</c:v>
                </c:pt>
                <c:pt idx="35">
                  <c:v>85</c:v>
                </c:pt>
                <c:pt idx="36">
                  <c:v>155</c:v>
                </c:pt>
                <c:pt idx="37">
                  <c:v>372</c:v>
                </c:pt>
                <c:pt idx="38">
                  <c:v>355</c:v>
                </c:pt>
                <c:pt idx="39">
                  <c:v>0</c:v>
                </c:pt>
                <c:pt idx="40">
                  <c:v>106</c:v>
                </c:pt>
                <c:pt idx="41">
                  <c:v>157</c:v>
                </c:pt>
                <c:pt idx="42">
                  <c:v>133</c:v>
                </c:pt>
                <c:pt idx="43">
                  <c:v>177</c:v>
                </c:pt>
                <c:pt idx="44">
                  <c:v>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FDC-42A6-9A84-5EFAB6663DE4}"/>
            </c:ext>
          </c:extLst>
        </c:ser>
        <c:ser>
          <c:idx val="4"/>
          <c:order val="4"/>
          <c:tx>
            <c:strRef>
              <c:f>b_line!$B$7</c:f>
              <c:strCache>
                <c:ptCount val="1"/>
                <c:pt idx="0">
                  <c:v>알렉스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[0]!범위_알렉스</c:f>
              <c:numCache>
                <c:formatCode>#,##0</c:formatCode>
                <c:ptCount val="45"/>
                <c:pt idx="0">
                  <c:v>285</c:v>
                </c:pt>
                <c:pt idx="1">
                  <c:v>356</c:v>
                </c:pt>
                <c:pt idx="2">
                  <c:v>130</c:v>
                </c:pt>
                <c:pt idx="3">
                  <c:v>107</c:v>
                </c:pt>
                <c:pt idx="4">
                  <c:v>143</c:v>
                </c:pt>
                <c:pt idx="5">
                  <c:v>509</c:v>
                </c:pt>
                <c:pt idx="6">
                  <c:v>390</c:v>
                </c:pt>
                <c:pt idx="7">
                  <c:v>0</c:v>
                </c:pt>
                <c:pt idx="8">
                  <c:v>129</c:v>
                </c:pt>
                <c:pt idx="9">
                  <c:v>469</c:v>
                </c:pt>
                <c:pt idx="10">
                  <c:v>135</c:v>
                </c:pt>
                <c:pt idx="11">
                  <c:v>181</c:v>
                </c:pt>
                <c:pt idx="12">
                  <c:v>569</c:v>
                </c:pt>
                <c:pt idx="13">
                  <c:v>470</c:v>
                </c:pt>
                <c:pt idx="14">
                  <c:v>131</c:v>
                </c:pt>
                <c:pt idx="15">
                  <c:v>137</c:v>
                </c:pt>
                <c:pt idx="16">
                  <c:v>174</c:v>
                </c:pt>
                <c:pt idx="17">
                  <c:v>119</c:v>
                </c:pt>
                <c:pt idx="18">
                  <c:v>230</c:v>
                </c:pt>
                <c:pt idx="19">
                  <c:v>661</c:v>
                </c:pt>
                <c:pt idx="20">
                  <c:v>559</c:v>
                </c:pt>
                <c:pt idx="21">
                  <c:v>202</c:v>
                </c:pt>
                <c:pt idx="22">
                  <c:v>184</c:v>
                </c:pt>
                <c:pt idx="23">
                  <c:v>128</c:v>
                </c:pt>
                <c:pt idx="24">
                  <c:v>160</c:v>
                </c:pt>
                <c:pt idx="25">
                  <c:v>203</c:v>
                </c:pt>
                <c:pt idx="26">
                  <c:v>841</c:v>
                </c:pt>
                <c:pt idx="27">
                  <c:v>701</c:v>
                </c:pt>
                <c:pt idx="28">
                  <c:v>250</c:v>
                </c:pt>
                <c:pt idx="29">
                  <c:v>240</c:v>
                </c:pt>
                <c:pt idx="30">
                  <c:v>419</c:v>
                </c:pt>
                <c:pt idx="31">
                  <c:v>457</c:v>
                </c:pt>
                <c:pt idx="32">
                  <c:v>210</c:v>
                </c:pt>
                <c:pt idx="33">
                  <c:v>558</c:v>
                </c:pt>
                <c:pt idx="34">
                  <c:v>423</c:v>
                </c:pt>
                <c:pt idx="35">
                  <c:v>160</c:v>
                </c:pt>
                <c:pt idx="36">
                  <c:v>194</c:v>
                </c:pt>
                <c:pt idx="37">
                  <c:v>163</c:v>
                </c:pt>
                <c:pt idx="38">
                  <c:v>182</c:v>
                </c:pt>
                <c:pt idx="39">
                  <c:v>274</c:v>
                </c:pt>
                <c:pt idx="40">
                  <c:v>656</c:v>
                </c:pt>
                <c:pt idx="41">
                  <c:v>406</c:v>
                </c:pt>
                <c:pt idx="42">
                  <c:v>173</c:v>
                </c:pt>
                <c:pt idx="43">
                  <c:v>170</c:v>
                </c:pt>
                <c:pt idx="44">
                  <c:v>138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FDC-42A6-9A84-5EFAB6663DE4}"/>
            </c:ext>
          </c:extLst>
        </c:ser>
        <c:ser>
          <c:idx val="5"/>
          <c:order val="5"/>
          <c:tx>
            <c:strRef>
              <c:f>b_line!$B$8</c:f>
              <c:strCache>
                <c:ptCount val="1"/>
                <c:pt idx="0">
                  <c:v>페어리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1.2404927799338009E-2"/>
                  <c:y val="-1.08698124156489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8CD-417A-99B6-B16EDA5E97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[0]!범위_페어리</c:f>
              <c:numCache>
                <c:formatCode>#,##0</c:formatCode>
                <c:ptCount val="45"/>
                <c:pt idx="0">
                  <c:v>342</c:v>
                </c:pt>
                <c:pt idx="1">
                  <c:v>453</c:v>
                </c:pt>
                <c:pt idx="2">
                  <c:v>338</c:v>
                </c:pt>
                <c:pt idx="3">
                  <c:v>212</c:v>
                </c:pt>
                <c:pt idx="4">
                  <c:v>211</c:v>
                </c:pt>
                <c:pt idx="5">
                  <c:v>302</c:v>
                </c:pt>
                <c:pt idx="6">
                  <c:v>232</c:v>
                </c:pt>
                <c:pt idx="7">
                  <c:v>240</c:v>
                </c:pt>
                <c:pt idx="8">
                  <c:v>489</c:v>
                </c:pt>
                <c:pt idx="9">
                  <c:v>417</c:v>
                </c:pt>
                <c:pt idx="10">
                  <c:v>230</c:v>
                </c:pt>
                <c:pt idx="11">
                  <c:v>146</c:v>
                </c:pt>
                <c:pt idx="12">
                  <c:v>226</c:v>
                </c:pt>
                <c:pt idx="13">
                  <c:v>181</c:v>
                </c:pt>
                <c:pt idx="14">
                  <c:v>221</c:v>
                </c:pt>
                <c:pt idx="15">
                  <c:v>453</c:v>
                </c:pt>
                <c:pt idx="16">
                  <c:v>438</c:v>
                </c:pt>
                <c:pt idx="17">
                  <c:v>474</c:v>
                </c:pt>
                <c:pt idx="18">
                  <c:v>215</c:v>
                </c:pt>
                <c:pt idx="19">
                  <c:v>155</c:v>
                </c:pt>
                <c:pt idx="20">
                  <c:v>183</c:v>
                </c:pt>
                <c:pt idx="21">
                  <c:v>226</c:v>
                </c:pt>
                <c:pt idx="22">
                  <c:v>507</c:v>
                </c:pt>
                <c:pt idx="23">
                  <c:v>395</c:v>
                </c:pt>
                <c:pt idx="24">
                  <c:v>30</c:v>
                </c:pt>
                <c:pt idx="25">
                  <c:v>210</c:v>
                </c:pt>
                <c:pt idx="26">
                  <c:v>194</c:v>
                </c:pt>
                <c:pt idx="27">
                  <c:v>212</c:v>
                </c:pt>
                <c:pt idx="28">
                  <c:v>296</c:v>
                </c:pt>
                <c:pt idx="29">
                  <c:v>602</c:v>
                </c:pt>
                <c:pt idx="30">
                  <c:v>577</c:v>
                </c:pt>
                <c:pt idx="31">
                  <c:v>254</c:v>
                </c:pt>
                <c:pt idx="32">
                  <c:v>212</c:v>
                </c:pt>
                <c:pt idx="33">
                  <c:v>349</c:v>
                </c:pt>
                <c:pt idx="34">
                  <c:v>87</c:v>
                </c:pt>
                <c:pt idx="35">
                  <c:v>163</c:v>
                </c:pt>
                <c:pt idx="36">
                  <c:v>373</c:v>
                </c:pt>
                <c:pt idx="37">
                  <c:v>275</c:v>
                </c:pt>
                <c:pt idx="38">
                  <c:v>96</c:v>
                </c:pt>
                <c:pt idx="39">
                  <c:v>76</c:v>
                </c:pt>
                <c:pt idx="40">
                  <c:v>138</c:v>
                </c:pt>
                <c:pt idx="41">
                  <c:v>127</c:v>
                </c:pt>
                <c:pt idx="42">
                  <c:v>0</c:v>
                </c:pt>
                <c:pt idx="43">
                  <c:v>0</c:v>
                </c:pt>
                <c:pt idx="44">
                  <c:v>295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FDC-42A6-9A84-5EFAB6663DE4}"/>
            </c:ext>
          </c:extLst>
        </c:ser>
        <c:ser>
          <c:idx val="7"/>
          <c:order val="6"/>
          <c:tx>
            <c:strRef>
              <c:f>b_line!$B$10</c:f>
              <c:strCache>
                <c:ptCount val="1"/>
                <c:pt idx="0">
                  <c:v>제이알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[0]!범위_제이알</c:f>
              <c:numCache>
                <c:formatCode>#,##0</c:formatCode>
                <c:ptCount val="45"/>
                <c:pt idx="0">
                  <c:v>106</c:v>
                </c:pt>
                <c:pt idx="1">
                  <c:v>107</c:v>
                </c:pt>
                <c:pt idx="2">
                  <c:v>287</c:v>
                </c:pt>
                <c:pt idx="3">
                  <c:v>205</c:v>
                </c:pt>
                <c:pt idx="4">
                  <c:v>115</c:v>
                </c:pt>
                <c:pt idx="5">
                  <c:v>64</c:v>
                </c:pt>
                <c:pt idx="6">
                  <c:v>106</c:v>
                </c:pt>
                <c:pt idx="7">
                  <c:v>54</c:v>
                </c:pt>
                <c:pt idx="8">
                  <c:v>96</c:v>
                </c:pt>
                <c:pt idx="9">
                  <c:v>101</c:v>
                </c:pt>
                <c:pt idx="10">
                  <c:v>282</c:v>
                </c:pt>
                <c:pt idx="11">
                  <c:v>173</c:v>
                </c:pt>
                <c:pt idx="12">
                  <c:v>85</c:v>
                </c:pt>
                <c:pt idx="13">
                  <c:v>84</c:v>
                </c:pt>
                <c:pt idx="14">
                  <c:v>111</c:v>
                </c:pt>
                <c:pt idx="15">
                  <c:v>107</c:v>
                </c:pt>
                <c:pt idx="16">
                  <c:v>134</c:v>
                </c:pt>
                <c:pt idx="17">
                  <c:v>213</c:v>
                </c:pt>
                <c:pt idx="18">
                  <c:v>184</c:v>
                </c:pt>
                <c:pt idx="19">
                  <c:v>59</c:v>
                </c:pt>
                <c:pt idx="20">
                  <c:v>100</c:v>
                </c:pt>
                <c:pt idx="21">
                  <c:v>73</c:v>
                </c:pt>
                <c:pt idx="22">
                  <c:v>97</c:v>
                </c:pt>
                <c:pt idx="23">
                  <c:v>112</c:v>
                </c:pt>
                <c:pt idx="24">
                  <c:v>266</c:v>
                </c:pt>
                <c:pt idx="25">
                  <c:v>204</c:v>
                </c:pt>
                <c:pt idx="26">
                  <c:v>200</c:v>
                </c:pt>
                <c:pt idx="27">
                  <c:v>68</c:v>
                </c:pt>
                <c:pt idx="28">
                  <c:v>128</c:v>
                </c:pt>
                <c:pt idx="29">
                  <c:v>54</c:v>
                </c:pt>
                <c:pt idx="30">
                  <c:v>122</c:v>
                </c:pt>
                <c:pt idx="31">
                  <c:v>157</c:v>
                </c:pt>
                <c:pt idx="32">
                  <c:v>164</c:v>
                </c:pt>
                <c:pt idx="33">
                  <c:v>125</c:v>
                </c:pt>
                <c:pt idx="34">
                  <c:v>131</c:v>
                </c:pt>
                <c:pt idx="35">
                  <c:v>83</c:v>
                </c:pt>
                <c:pt idx="36">
                  <c:v>97</c:v>
                </c:pt>
                <c:pt idx="37">
                  <c:v>68</c:v>
                </c:pt>
                <c:pt idx="38">
                  <c:v>195</c:v>
                </c:pt>
                <c:pt idx="39">
                  <c:v>158</c:v>
                </c:pt>
                <c:pt idx="40">
                  <c:v>25</c:v>
                </c:pt>
                <c:pt idx="41">
                  <c:v>122</c:v>
                </c:pt>
                <c:pt idx="42">
                  <c:v>102</c:v>
                </c:pt>
                <c:pt idx="43">
                  <c:v>74</c:v>
                </c:pt>
                <c:pt idx="44">
                  <c:v>159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4FDC-42A6-9A84-5EFAB6663DE4}"/>
            </c:ext>
          </c:extLst>
        </c:ser>
        <c:ser>
          <c:idx val="8"/>
          <c:order val="7"/>
          <c:tx>
            <c:strRef>
              <c:f>b_line!$B$11</c:f>
              <c:strCache>
                <c:ptCount val="1"/>
                <c:pt idx="0">
                  <c:v>오스틴 리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spc="-12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[0]!범위_오스틴리</c:f>
              <c:numCache>
                <c:formatCode>#,##0</c:formatCode>
                <c:ptCount val="45"/>
                <c:pt idx="0">
                  <c:v>227</c:v>
                </c:pt>
                <c:pt idx="1">
                  <c:v>274</c:v>
                </c:pt>
                <c:pt idx="2">
                  <c:v>124</c:v>
                </c:pt>
                <c:pt idx="3">
                  <c:v>105</c:v>
                </c:pt>
                <c:pt idx="4">
                  <c:v>413</c:v>
                </c:pt>
                <c:pt idx="5">
                  <c:v>305</c:v>
                </c:pt>
                <c:pt idx="6">
                  <c:v>349</c:v>
                </c:pt>
                <c:pt idx="7">
                  <c:v>336</c:v>
                </c:pt>
                <c:pt idx="8">
                  <c:v>120</c:v>
                </c:pt>
                <c:pt idx="9">
                  <c:v>96</c:v>
                </c:pt>
                <c:pt idx="10">
                  <c:v>202</c:v>
                </c:pt>
                <c:pt idx="11">
                  <c:v>383</c:v>
                </c:pt>
                <c:pt idx="12">
                  <c:v>404</c:v>
                </c:pt>
                <c:pt idx="13">
                  <c:v>371</c:v>
                </c:pt>
                <c:pt idx="14">
                  <c:v>126</c:v>
                </c:pt>
                <c:pt idx="15">
                  <c:v>99</c:v>
                </c:pt>
                <c:pt idx="16">
                  <c:v>236</c:v>
                </c:pt>
                <c:pt idx="17">
                  <c:v>189</c:v>
                </c:pt>
                <c:pt idx="18">
                  <c:v>567</c:v>
                </c:pt>
                <c:pt idx="19">
                  <c:v>341</c:v>
                </c:pt>
                <c:pt idx="20">
                  <c:v>0</c:v>
                </c:pt>
                <c:pt idx="21">
                  <c:v>114</c:v>
                </c:pt>
                <c:pt idx="22">
                  <c:v>129</c:v>
                </c:pt>
                <c:pt idx="23">
                  <c:v>159</c:v>
                </c:pt>
                <c:pt idx="24">
                  <c:v>203</c:v>
                </c:pt>
                <c:pt idx="25">
                  <c:v>525</c:v>
                </c:pt>
                <c:pt idx="26">
                  <c:v>353</c:v>
                </c:pt>
                <c:pt idx="27">
                  <c:v>163</c:v>
                </c:pt>
                <c:pt idx="28">
                  <c:v>105</c:v>
                </c:pt>
                <c:pt idx="29">
                  <c:v>130</c:v>
                </c:pt>
                <c:pt idx="30">
                  <c:v>120</c:v>
                </c:pt>
                <c:pt idx="31">
                  <c:v>177</c:v>
                </c:pt>
                <c:pt idx="32">
                  <c:v>326</c:v>
                </c:pt>
                <c:pt idx="33">
                  <c:v>320</c:v>
                </c:pt>
                <c:pt idx="34">
                  <c:v>94</c:v>
                </c:pt>
                <c:pt idx="35">
                  <c:v>122</c:v>
                </c:pt>
                <c:pt idx="36">
                  <c:v>127</c:v>
                </c:pt>
                <c:pt idx="37">
                  <c:v>95</c:v>
                </c:pt>
                <c:pt idx="38">
                  <c:v>151</c:v>
                </c:pt>
                <c:pt idx="39">
                  <c:v>487</c:v>
                </c:pt>
                <c:pt idx="40">
                  <c:v>427</c:v>
                </c:pt>
                <c:pt idx="41">
                  <c:v>0</c:v>
                </c:pt>
                <c:pt idx="42">
                  <c:v>135</c:v>
                </c:pt>
                <c:pt idx="43">
                  <c:v>161</c:v>
                </c:pt>
                <c:pt idx="44">
                  <c:v>126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4FDC-42A6-9A84-5EFAB6663DE4}"/>
            </c:ext>
          </c:extLst>
        </c:ser>
        <c:ser>
          <c:idx val="9"/>
          <c:order val="8"/>
          <c:tx>
            <c:strRef>
              <c:f>b_line!$B$12</c:f>
              <c:strCache>
                <c:ptCount val="1"/>
                <c:pt idx="0">
                  <c:v>윤협</c:v>
                </c:pt>
              </c:strCache>
            </c:strRef>
          </c:tx>
          <c:spPr>
            <a:ln w="7620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bg1">
                    <a:lumMod val="8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val>
            <c:numRef>
              <c:f>[0]!범위_윤협</c:f>
              <c:numCache>
                <c:formatCode>#,##0</c:formatCode>
                <c:ptCount val="45"/>
                <c:pt idx="0">
                  <c:v>626</c:v>
                </c:pt>
                <c:pt idx="1">
                  <c:v>389</c:v>
                </c:pt>
                <c:pt idx="2">
                  <c:v>135</c:v>
                </c:pt>
                <c:pt idx="3">
                  <c:v>161</c:v>
                </c:pt>
                <c:pt idx="4">
                  <c:v>175</c:v>
                </c:pt>
                <c:pt idx="5">
                  <c:v>140</c:v>
                </c:pt>
                <c:pt idx="6">
                  <c:v>637</c:v>
                </c:pt>
                <c:pt idx="7">
                  <c:v>452</c:v>
                </c:pt>
                <c:pt idx="8">
                  <c:v>241</c:v>
                </c:pt>
                <c:pt idx="9">
                  <c:v>0</c:v>
                </c:pt>
                <c:pt idx="10">
                  <c:v>98</c:v>
                </c:pt>
                <c:pt idx="11">
                  <c:v>106</c:v>
                </c:pt>
                <c:pt idx="12">
                  <c:v>109</c:v>
                </c:pt>
                <c:pt idx="13">
                  <c:v>102</c:v>
                </c:pt>
                <c:pt idx="14">
                  <c:v>413</c:v>
                </c:pt>
                <c:pt idx="15">
                  <c:v>282</c:v>
                </c:pt>
                <c:pt idx="16">
                  <c:v>114</c:v>
                </c:pt>
                <c:pt idx="17">
                  <c:v>109</c:v>
                </c:pt>
                <c:pt idx="18">
                  <c:v>125</c:v>
                </c:pt>
                <c:pt idx="19">
                  <c:v>86</c:v>
                </c:pt>
                <c:pt idx="20">
                  <c:v>154</c:v>
                </c:pt>
                <c:pt idx="21">
                  <c:v>358</c:v>
                </c:pt>
                <c:pt idx="22">
                  <c:v>298</c:v>
                </c:pt>
                <c:pt idx="23">
                  <c:v>101</c:v>
                </c:pt>
                <c:pt idx="24">
                  <c:v>116</c:v>
                </c:pt>
                <c:pt idx="25">
                  <c:v>176</c:v>
                </c:pt>
                <c:pt idx="26">
                  <c:v>126</c:v>
                </c:pt>
                <c:pt idx="27">
                  <c:v>130</c:v>
                </c:pt>
                <c:pt idx="28">
                  <c:v>347</c:v>
                </c:pt>
                <c:pt idx="29">
                  <c:v>258</c:v>
                </c:pt>
                <c:pt idx="30">
                  <c:v>105</c:v>
                </c:pt>
                <c:pt idx="31">
                  <c:v>90</c:v>
                </c:pt>
                <c:pt idx="32">
                  <c:v>150</c:v>
                </c:pt>
                <c:pt idx="33">
                  <c:v>160</c:v>
                </c:pt>
                <c:pt idx="34">
                  <c:v>117</c:v>
                </c:pt>
                <c:pt idx="35">
                  <c:v>389</c:v>
                </c:pt>
                <c:pt idx="36">
                  <c:v>251</c:v>
                </c:pt>
                <c:pt idx="37">
                  <c:v>88</c:v>
                </c:pt>
                <c:pt idx="38">
                  <c:v>103</c:v>
                </c:pt>
                <c:pt idx="39">
                  <c:v>147</c:v>
                </c:pt>
                <c:pt idx="40">
                  <c:v>116</c:v>
                </c:pt>
                <c:pt idx="41">
                  <c:v>308</c:v>
                </c:pt>
                <c:pt idx="42">
                  <c:v>343</c:v>
                </c:pt>
                <c:pt idx="43">
                  <c:v>302</c:v>
                </c:pt>
                <c:pt idx="44">
                  <c:v>143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4FDC-42A6-9A84-5EFAB6663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45520"/>
        <c:axId val="-2107744976"/>
      </c:lineChart>
      <c:catAx>
        <c:axId val="-2107745520"/>
        <c:scaling>
          <c:orientation val="minMax"/>
        </c:scaling>
        <c:delete val="0"/>
        <c:axPos val="b"/>
        <c:numFmt formatCode="#,###&quot;일&quot;&quot;차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44976"/>
        <c:crosses val="autoZero"/>
        <c:auto val="1"/>
        <c:lblAlgn val="ctr"/>
        <c:lblOffset val="100"/>
        <c:noMultiLvlLbl val="0"/>
      </c:catAx>
      <c:valAx>
        <c:axId val="-210774497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" b="0" i="0" u="none" strike="noStrike" kern="1200" baseline="0">
                <a:solidFill>
                  <a:sysClr val="windowText" lastClr="000000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-210774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755020257750504E-2"/>
          <c:y val="0.95460370792839866"/>
          <c:w val="0.90777165345515554"/>
          <c:h val="3.5843717370655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나눔바른고딕OTF Light" panose="02000303000000000000" pitchFamily="50" charset="-127"/>
          <a:ea typeface="나눔바른고딕OTF Light" panose="02000303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b_stick!$F$8</c:f>
              <c:strCache>
                <c:ptCount val="1"/>
                <c:pt idx="0">
                  <c:v>드리머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b_stick!$F$9:$F$134</c:f>
              <c:numCache>
                <c:formatCode>#,##0</c:formatCode>
                <c:ptCount val="126"/>
                <c:pt idx="0">
                  <c:v>89</c:v>
                </c:pt>
                <c:pt idx="1">
                  <c:v>98</c:v>
                </c:pt>
                <c:pt idx="2">
                  <c:v>188</c:v>
                </c:pt>
                <c:pt idx="3">
                  <c:v>158</c:v>
                </c:pt>
                <c:pt idx="4">
                  <c:v>181</c:v>
                </c:pt>
                <c:pt idx="5">
                  <c:v>36</c:v>
                </c:pt>
                <c:pt idx="6">
                  <c:v>60</c:v>
                </c:pt>
                <c:pt idx="7">
                  <c:v>73</c:v>
                </c:pt>
                <c:pt idx="8">
                  <c:v>110</c:v>
                </c:pt>
                <c:pt idx="9">
                  <c:v>344</c:v>
                </c:pt>
                <c:pt idx="10">
                  <c:v>356</c:v>
                </c:pt>
                <c:pt idx="11">
                  <c:v>225</c:v>
                </c:pt>
                <c:pt idx="12">
                  <c:v>38</c:v>
                </c:pt>
                <c:pt idx="13">
                  <c:v>72</c:v>
                </c:pt>
                <c:pt idx="14">
                  <c:v>44</c:v>
                </c:pt>
                <c:pt idx="15">
                  <c:v>82</c:v>
                </c:pt>
                <c:pt idx="16">
                  <c:v>331</c:v>
                </c:pt>
                <c:pt idx="17">
                  <c:v>265</c:v>
                </c:pt>
                <c:pt idx="18">
                  <c:v>0</c:v>
                </c:pt>
                <c:pt idx="19">
                  <c:v>60</c:v>
                </c:pt>
                <c:pt idx="20">
                  <c:v>65</c:v>
                </c:pt>
                <c:pt idx="21">
                  <c:v>64</c:v>
                </c:pt>
                <c:pt idx="22">
                  <c:v>110</c:v>
                </c:pt>
                <c:pt idx="23">
                  <c:v>320</c:v>
                </c:pt>
                <c:pt idx="24">
                  <c:v>280</c:v>
                </c:pt>
                <c:pt idx="25">
                  <c:v>78</c:v>
                </c:pt>
                <c:pt idx="26">
                  <c:v>54</c:v>
                </c:pt>
                <c:pt idx="27">
                  <c:v>176</c:v>
                </c:pt>
                <c:pt idx="28">
                  <c:v>55</c:v>
                </c:pt>
                <c:pt idx="29">
                  <c:v>134</c:v>
                </c:pt>
                <c:pt idx="30">
                  <c:v>349</c:v>
                </c:pt>
                <c:pt idx="31">
                  <c:v>407</c:v>
                </c:pt>
                <c:pt idx="32">
                  <c:v>60</c:v>
                </c:pt>
                <c:pt idx="33">
                  <c:v>61</c:v>
                </c:pt>
                <c:pt idx="34">
                  <c:v>96</c:v>
                </c:pt>
                <c:pt idx="35">
                  <c:v>85</c:v>
                </c:pt>
                <c:pt idx="36">
                  <c:v>155</c:v>
                </c:pt>
                <c:pt idx="37">
                  <c:v>372</c:v>
                </c:pt>
                <c:pt idx="38">
                  <c:v>355</c:v>
                </c:pt>
                <c:pt idx="39">
                  <c:v>0</c:v>
                </c:pt>
                <c:pt idx="40">
                  <c:v>106</c:v>
                </c:pt>
                <c:pt idx="41">
                  <c:v>157</c:v>
                </c:pt>
                <c:pt idx="42">
                  <c:v>133</c:v>
                </c:pt>
                <c:pt idx="43">
                  <c:v>177</c:v>
                </c:pt>
                <c:pt idx="44">
                  <c:v>465</c:v>
                </c:pt>
                <c:pt idx="45">
                  <c:v>361</c:v>
                </c:pt>
                <c:pt idx="46">
                  <c:v>123</c:v>
                </c:pt>
                <c:pt idx="47">
                  <c:v>121</c:v>
                </c:pt>
                <c:pt idx="48">
                  <c:v>118</c:v>
                </c:pt>
                <c:pt idx="49">
                  <c:v>127</c:v>
                </c:pt>
                <c:pt idx="50">
                  <c:v>244</c:v>
                </c:pt>
                <c:pt idx="51">
                  <c:v>569</c:v>
                </c:pt>
                <c:pt idx="52">
                  <c:v>527</c:v>
                </c:pt>
                <c:pt idx="53">
                  <c:v>124</c:v>
                </c:pt>
                <c:pt idx="54">
                  <c:v>202</c:v>
                </c:pt>
                <c:pt idx="55">
                  <c:v>252</c:v>
                </c:pt>
                <c:pt idx="56">
                  <c:v>122</c:v>
                </c:pt>
                <c:pt idx="57">
                  <c:v>243</c:v>
                </c:pt>
                <c:pt idx="58">
                  <c:v>561</c:v>
                </c:pt>
                <c:pt idx="59">
                  <c:v>515</c:v>
                </c:pt>
                <c:pt idx="60">
                  <c:v>179</c:v>
                </c:pt>
                <c:pt idx="61">
                  <c:v>169</c:v>
                </c:pt>
                <c:pt idx="62">
                  <c:v>216</c:v>
                </c:pt>
                <c:pt idx="63">
                  <c:v>109</c:v>
                </c:pt>
                <c:pt idx="64">
                  <c:v>152</c:v>
                </c:pt>
                <c:pt idx="65">
                  <c:v>493</c:v>
                </c:pt>
                <c:pt idx="66">
                  <c:v>388</c:v>
                </c:pt>
                <c:pt idx="67">
                  <c:v>108</c:v>
                </c:pt>
                <c:pt idx="68">
                  <c:v>92</c:v>
                </c:pt>
                <c:pt idx="69">
                  <c:v>70</c:v>
                </c:pt>
                <c:pt idx="70">
                  <c:v>100</c:v>
                </c:pt>
                <c:pt idx="71">
                  <c:v>134</c:v>
                </c:pt>
                <c:pt idx="72">
                  <c:v>316</c:v>
                </c:pt>
                <c:pt idx="73">
                  <c:v>302</c:v>
                </c:pt>
                <c:pt idx="74">
                  <c:v>96</c:v>
                </c:pt>
                <c:pt idx="75">
                  <c:v>63</c:v>
                </c:pt>
                <c:pt idx="76">
                  <c:v>102</c:v>
                </c:pt>
                <c:pt idx="77">
                  <c:v>133</c:v>
                </c:pt>
                <c:pt idx="78">
                  <c:v>119</c:v>
                </c:pt>
                <c:pt idx="79">
                  <c:v>358</c:v>
                </c:pt>
                <c:pt idx="80">
                  <c:v>376</c:v>
                </c:pt>
                <c:pt idx="81">
                  <c:v>130</c:v>
                </c:pt>
                <c:pt idx="82">
                  <c:v>166</c:v>
                </c:pt>
                <c:pt idx="83">
                  <c:v>201</c:v>
                </c:pt>
                <c:pt idx="84">
                  <c:v>185</c:v>
                </c:pt>
                <c:pt idx="85">
                  <c:v>257</c:v>
                </c:pt>
                <c:pt idx="86">
                  <c:v>578</c:v>
                </c:pt>
                <c:pt idx="87">
                  <c:v>432</c:v>
                </c:pt>
                <c:pt idx="88">
                  <c:v>305</c:v>
                </c:pt>
                <c:pt idx="89">
                  <c:v>332</c:v>
                </c:pt>
                <c:pt idx="90">
                  <c:v>633</c:v>
                </c:pt>
                <c:pt idx="91">
                  <c:v>503</c:v>
                </c:pt>
                <c:pt idx="92">
                  <c:v>539</c:v>
                </c:pt>
                <c:pt idx="93">
                  <c:v>0</c:v>
                </c:pt>
                <c:pt idx="94">
                  <c:v>1215</c:v>
                </c:pt>
                <c:pt idx="95">
                  <c:v>121</c:v>
                </c:pt>
                <c:pt idx="96">
                  <c:v>239</c:v>
                </c:pt>
                <c:pt idx="97">
                  <c:v>390</c:v>
                </c:pt>
                <c:pt idx="98">
                  <c:v>400</c:v>
                </c:pt>
                <c:pt idx="99">
                  <c:v>493</c:v>
                </c:pt>
                <c:pt idx="100">
                  <c:v>1009</c:v>
                </c:pt>
                <c:pt idx="101">
                  <c:v>1089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5-433F-BBFE-9812A5B587C5}"/>
            </c:ext>
          </c:extLst>
        </c:ser>
        <c:ser>
          <c:idx val="1"/>
          <c:order val="1"/>
          <c:tx>
            <c:strRef>
              <c:f>b_stick!$G$8</c:f>
              <c:strCache>
                <c:ptCount val="1"/>
                <c:pt idx="0">
                  <c:v>알렉스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b_stick!$G$9:$G$134</c:f>
              <c:numCache>
                <c:formatCode>#,##0</c:formatCode>
                <c:ptCount val="126"/>
                <c:pt idx="0">
                  <c:v>285</c:v>
                </c:pt>
                <c:pt idx="1">
                  <c:v>356</c:v>
                </c:pt>
                <c:pt idx="2">
                  <c:v>130</c:v>
                </c:pt>
                <c:pt idx="3">
                  <c:v>107</c:v>
                </c:pt>
                <c:pt idx="4">
                  <c:v>143</c:v>
                </c:pt>
                <c:pt idx="5">
                  <c:v>509</c:v>
                </c:pt>
                <c:pt idx="6">
                  <c:v>390</c:v>
                </c:pt>
                <c:pt idx="7">
                  <c:v>0</c:v>
                </c:pt>
                <c:pt idx="8">
                  <c:v>129</c:v>
                </c:pt>
                <c:pt idx="9">
                  <c:v>469</c:v>
                </c:pt>
                <c:pt idx="10">
                  <c:v>135</c:v>
                </c:pt>
                <c:pt idx="11">
                  <c:v>181</c:v>
                </c:pt>
                <c:pt idx="12">
                  <c:v>569</c:v>
                </c:pt>
                <c:pt idx="13">
                  <c:v>470</c:v>
                </c:pt>
                <c:pt idx="14">
                  <c:v>131</c:v>
                </c:pt>
                <c:pt idx="15">
                  <c:v>137</c:v>
                </c:pt>
                <c:pt idx="16">
                  <c:v>174</c:v>
                </c:pt>
                <c:pt idx="17">
                  <c:v>119</c:v>
                </c:pt>
                <c:pt idx="18">
                  <c:v>230</c:v>
                </c:pt>
                <c:pt idx="19">
                  <c:v>661</c:v>
                </c:pt>
                <c:pt idx="20">
                  <c:v>559</c:v>
                </c:pt>
                <c:pt idx="21">
                  <c:v>202</c:v>
                </c:pt>
                <c:pt idx="22">
                  <c:v>184</c:v>
                </c:pt>
                <c:pt idx="23">
                  <c:v>128</c:v>
                </c:pt>
                <c:pt idx="24">
                  <c:v>160</c:v>
                </c:pt>
                <c:pt idx="25">
                  <c:v>203</c:v>
                </c:pt>
                <c:pt idx="26">
                  <c:v>841</c:v>
                </c:pt>
                <c:pt idx="27">
                  <c:v>701</c:v>
                </c:pt>
                <c:pt idx="28">
                  <c:v>250</c:v>
                </c:pt>
                <c:pt idx="29">
                  <c:v>240</c:v>
                </c:pt>
                <c:pt idx="30">
                  <c:v>419</c:v>
                </c:pt>
                <c:pt idx="31">
                  <c:v>457</c:v>
                </c:pt>
                <c:pt idx="32">
                  <c:v>210</c:v>
                </c:pt>
                <c:pt idx="33">
                  <c:v>558</c:v>
                </c:pt>
                <c:pt idx="34">
                  <c:v>423</c:v>
                </c:pt>
                <c:pt idx="35">
                  <c:v>160</c:v>
                </c:pt>
                <c:pt idx="36">
                  <c:v>194</c:v>
                </c:pt>
                <c:pt idx="37">
                  <c:v>163</c:v>
                </c:pt>
                <c:pt idx="38">
                  <c:v>182</c:v>
                </c:pt>
                <c:pt idx="39">
                  <c:v>274</c:v>
                </c:pt>
                <c:pt idx="40">
                  <c:v>656</c:v>
                </c:pt>
                <c:pt idx="41">
                  <c:v>406</c:v>
                </c:pt>
                <c:pt idx="42">
                  <c:v>173</c:v>
                </c:pt>
                <c:pt idx="43">
                  <c:v>170</c:v>
                </c:pt>
                <c:pt idx="44">
                  <c:v>138</c:v>
                </c:pt>
                <c:pt idx="45">
                  <c:v>157</c:v>
                </c:pt>
                <c:pt idx="46">
                  <c:v>189</c:v>
                </c:pt>
                <c:pt idx="47">
                  <c:v>466</c:v>
                </c:pt>
                <c:pt idx="48">
                  <c:v>324</c:v>
                </c:pt>
                <c:pt idx="49">
                  <c:v>0</c:v>
                </c:pt>
                <c:pt idx="50">
                  <c:v>112</c:v>
                </c:pt>
                <c:pt idx="51">
                  <c:v>126</c:v>
                </c:pt>
                <c:pt idx="52">
                  <c:v>115</c:v>
                </c:pt>
                <c:pt idx="53">
                  <c:v>154</c:v>
                </c:pt>
                <c:pt idx="54">
                  <c:v>476</c:v>
                </c:pt>
                <c:pt idx="55">
                  <c:v>264</c:v>
                </c:pt>
                <c:pt idx="56">
                  <c:v>174</c:v>
                </c:pt>
                <c:pt idx="57">
                  <c:v>124</c:v>
                </c:pt>
                <c:pt idx="58">
                  <c:v>309</c:v>
                </c:pt>
                <c:pt idx="59">
                  <c:v>228</c:v>
                </c:pt>
                <c:pt idx="60">
                  <c:v>289</c:v>
                </c:pt>
                <c:pt idx="61">
                  <c:v>564</c:v>
                </c:pt>
                <c:pt idx="62">
                  <c:v>327</c:v>
                </c:pt>
                <c:pt idx="63">
                  <c:v>131</c:v>
                </c:pt>
                <c:pt idx="64">
                  <c:v>149</c:v>
                </c:pt>
                <c:pt idx="65">
                  <c:v>80</c:v>
                </c:pt>
                <c:pt idx="66">
                  <c:v>317</c:v>
                </c:pt>
                <c:pt idx="67">
                  <c:v>258</c:v>
                </c:pt>
                <c:pt idx="68">
                  <c:v>455</c:v>
                </c:pt>
                <c:pt idx="69">
                  <c:v>300</c:v>
                </c:pt>
                <c:pt idx="70">
                  <c:v>114</c:v>
                </c:pt>
                <c:pt idx="71">
                  <c:v>106</c:v>
                </c:pt>
                <c:pt idx="72">
                  <c:v>94</c:v>
                </c:pt>
                <c:pt idx="73">
                  <c:v>111</c:v>
                </c:pt>
                <c:pt idx="74">
                  <c:v>108</c:v>
                </c:pt>
                <c:pt idx="75">
                  <c:v>604</c:v>
                </c:pt>
                <c:pt idx="76">
                  <c:v>456</c:v>
                </c:pt>
                <c:pt idx="77">
                  <c:v>127</c:v>
                </c:pt>
                <c:pt idx="78">
                  <c:v>130</c:v>
                </c:pt>
                <c:pt idx="79">
                  <c:v>123</c:v>
                </c:pt>
                <c:pt idx="80">
                  <c:v>128</c:v>
                </c:pt>
                <c:pt idx="81">
                  <c:v>219</c:v>
                </c:pt>
                <c:pt idx="82">
                  <c:v>665</c:v>
                </c:pt>
                <c:pt idx="83">
                  <c:v>528</c:v>
                </c:pt>
                <c:pt idx="84">
                  <c:v>0</c:v>
                </c:pt>
                <c:pt idx="85">
                  <c:v>114</c:v>
                </c:pt>
                <c:pt idx="86">
                  <c:v>275</c:v>
                </c:pt>
                <c:pt idx="87">
                  <c:v>181</c:v>
                </c:pt>
                <c:pt idx="88">
                  <c:v>298</c:v>
                </c:pt>
                <c:pt idx="89">
                  <c:v>690</c:v>
                </c:pt>
                <c:pt idx="90">
                  <c:v>660</c:v>
                </c:pt>
                <c:pt idx="91">
                  <c:v>242</c:v>
                </c:pt>
                <c:pt idx="92">
                  <c:v>285</c:v>
                </c:pt>
                <c:pt idx="93">
                  <c:v>718</c:v>
                </c:pt>
                <c:pt idx="94">
                  <c:v>240</c:v>
                </c:pt>
                <c:pt idx="95">
                  <c:v>403</c:v>
                </c:pt>
                <c:pt idx="96">
                  <c:v>858</c:v>
                </c:pt>
                <c:pt idx="97">
                  <c:v>784</c:v>
                </c:pt>
                <c:pt idx="98">
                  <c:v>1132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5-433F-BBFE-9812A5B587C5}"/>
            </c:ext>
          </c:extLst>
        </c:ser>
        <c:ser>
          <c:idx val="2"/>
          <c:order val="2"/>
          <c:tx>
            <c:strRef>
              <c:f>b_stick!$H$8</c:f>
              <c:strCache>
                <c:ptCount val="1"/>
                <c:pt idx="0">
                  <c:v>페어리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b_stick!$H$9:$H$134</c:f>
              <c:numCache>
                <c:formatCode>#,##0</c:formatCode>
                <c:ptCount val="126"/>
                <c:pt idx="0">
                  <c:v>342</c:v>
                </c:pt>
                <c:pt idx="1">
                  <c:v>453</c:v>
                </c:pt>
                <c:pt idx="2">
                  <c:v>338</c:v>
                </c:pt>
                <c:pt idx="3">
                  <c:v>212</c:v>
                </c:pt>
                <c:pt idx="4">
                  <c:v>211</c:v>
                </c:pt>
                <c:pt idx="5">
                  <c:v>302</c:v>
                </c:pt>
                <c:pt idx="6">
                  <c:v>232</c:v>
                </c:pt>
                <c:pt idx="7">
                  <c:v>240</c:v>
                </c:pt>
                <c:pt idx="8">
                  <c:v>489</c:v>
                </c:pt>
                <c:pt idx="9">
                  <c:v>417</c:v>
                </c:pt>
                <c:pt idx="10">
                  <c:v>230</c:v>
                </c:pt>
                <c:pt idx="11">
                  <c:v>146</c:v>
                </c:pt>
                <c:pt idx="12">
                  <c:v>226</c:v>
                </c:pt>
                <c:pt idx="13">
                  <c:v>181</c:v>
                </c:pt>
                <c:pt idx="14">
                  <c:v>221</c:v>
                </c:pt>
                <c:pt idx="15">
                  <c:v>453</c:v>
                </c:pt>
                <c:pt idx="16">
                  <c:v>438</c:v>
                </c:pt>
                <c:pt idx="17">
                  <c:v>474</c:v>
                </c:pt>
                <c:pt idx="18">
                  <c:v>215</c:v>
                </c:pt>
                <c:pt idx="19">
                  <c:v>155</c:v>
                </c:pt>
                <c:pt idx="20">
                  <c:v>183</c:v>
                </c:pt>
                <c:pt idx="21">
                  <c:v>226</c:v>
                </c:pt>
                <c:pt idx="22">
                  <c:v>507</c:v>
                </c:pt>
                <c:pt idx="23">
                  <c:v>395</c:v>
                </c:pt>
                <c:pt idx="24">
                  <c:v>30</c:v>
                </c:pt>
                <c:pt idx="25">
                  <c:v>210</c:v>
                </c:pt>
                <c:pt idx="26">
                  <c:v>194</c:v>
                </c:pt>
                <c:pt idx="27">
                  <c:v>212</c:v>
                </c:pt>
                <c:pt idx="28">
                  <c:v>296</c:v>
                </c:pt>
                <c:pt idx="29">
                  <c:v>602</c:v>
                </c:pt>
                <c:pt idx="30">
                  <c:v>577</c:v>
                </c:pt>
                <c:pt idx="31">
                  <c:v>254</c:v>
                </c:pt>
                <c:pt idx="32">
                  <c:v>212</c:v>
                </c:pt>
                <c:pt idx="33">
                  <c:v>349</c:v>
                </c:pt>
                <c:pt idx="34">
                  <c:v>87</c:v>
                </c:pt>
                <c:pt idx="35">
                  <c:v>163</c:v>
                </c:pt>
                <c:pt idx="36">
                  <c:v>373</c:v>
                </c:pt>
                <c:pt idx="37">
                  <c:v>275</c:v>
                </c:pt>
                <c:pt idx="38">
                  <c:v>96</c:v>
                </c:pt>
                <c:pt idx="39">
                  <c:v>76</c:v>
                </c:pt>
                <c:pt idx="40">
                  <c:v>138</c:v>
                </c:pt>
                <c:pt idx="41">
                  <c:v>127</c:v>
                </c:pt>
                <c:pt idx="42">
                  <c:v>0</c:v>
                </c:pt>
                <c:pt idx="43">
                  <c:v>0</c:v>
                </c:pt>
                <c:pt idx="44">
                  <c:v>295</c:v>
                </c:pt>
                <c:pt idx="45">
                  <c:v>327</c:v>
                </c:pt>
                <c:pt idx="46">
                  <c:v>77</c:v>
                </c:pt>
                <c:pt idx="47">
                  <c:v>79</c:v>
                </c:pt>
                <c:pt idx="48">
                  <c:v>198</c:v>
                </c:pt>
                <c:pt idx="49">
                  <c:v>234</c:v>
                </c:pt>
                <c:pt idx="50">
                  <c:v>317</c:v>
                </c:pt>
                <c:pt idx="51">
                  <c:v>280</c:v>
                </c:pt>
                <c:pt idx="52">
                  <c:v>125</c:v>
                </c:pt>
                <c:pt idx="53">
                  <c:v>104</c:v>
                </c:pt>
                <c:pt idx="54">
                  <c:v>120</c:v>
                </c:pt>
                <c:pt idx="55">
                  <c:v>86</c:v>
                </c:pt>
                <c:pt idx="56">
                  <c:v>147</c:v>
                </c:pt>
                <c:pt idx="57">
                  <c:v>348</c:v>
                </c:pt>
                <c:pt idx="58">
                  <c:v>262</c:v>
                </c:pt>
                <c:pt idx="59">
                  <c:v>99</c:v>
                </c:pt>
                <c:pt idx="60">
                  <c:v>87</c:v>
                </c:pt>
                <c:pt idx="61">
                  <c:v>169</c:v>
                </c:pt>
                <c:pt idx="62">
                  <c:v>73</c:v>
                </c:pt>
                <c:pt idx="63">
                  <c:v>136</c:v>
                </c:pt>
                <c:pt idx="64">
                  <c:v>400</c:v>
                </c:pt>
                <c:pt idx="65">
                  <c:v>439</c:v>
                </c:pt>
                <c:pt idx="66">
                  <c:v>355</c:v>
                </c:pt>
                <c:pt idx="67">
                  <c:v>61</c:v>
                </c:pt>
                <c:pt idx="68">
                  <c:v>78</c:v>
                </c:pt>
                <c:pt idx="69">
                  <c:v>92</c:v>
                </c:pt>
                <c:pt idx="70">
                  <c:v>134</c:v>
                </c:pt>
                <c:pt idx="71">
                  <c:v>450</c:v>
                </c:pt>
                <c:pt idx="72">
                  <c:v>510</c:v>
                </c:pt>
                <c:pt idx="73">
                  <c:v>372</c:v>
                </c:pt>
                <c:pt idx="74">
                  <c:v>82</c:v>
                </c:pt>
                <c:pt idx="75">
                  <c:v>124</c:v>
                </c:pt>
                <c:pt idx="76">
                  <c:v>70</c:v>
                </c:pt>
                <c:pt idx="77">
                  <c:v>192</c:v>
                </c:pt>
                <c:pt idx="78">
                  <c:v>524</c:v>
                </c:pt>
                <c:pt idx="79">
                  <c:v>445</c:v>
                </c:pt>
                <c:pt idx="80">
                  <c:v>0</c:v>
                </c:pt>
                <c:pt idx="81">
                  <c:v>194</c:v>
                </c:pt>
                <c:pt idx="82">
                  <c:v>91</c:v>
                </c:pt>
                <c:pt idx="83">
                  <c:v>110</c:v>
                </c:pt>
                <c:pt idx="84">
                  <c:v>124</c:v>
                </c:pt>
                <c:pt idx="85">
                  <c:v>394</c:v>
                </c:pt>
                <c:pt idx="86">
                  <c:v>469</c:v>
                </c:pt>
                <c:pt idx="87">
                  <c:v>110</c:v>
                </c:pt>
                <c:pt idx="88">
                  <c:v>112</c:v>
                </c:pt>
                <c:pt idx="89">
                  <c:v>192</c:v>
                </c:pt>
                <c:pt idx="90">
                  <c:v>134</c:v>
                </c:pt>
                <c:pt idx="91">
                  <c:v>277</c:v>
                </c:pt>
                <c:pt idx="92">
                  <c:v>457</c:v>
                </c:pt>
                <c:pt idx="93">
                  <c:v>402</c:v>
                </c:pt>
                <c:pt idx="94">
                  <c:v>168</c:v>
                </c:pt>
                <c:pt idx="95">
                  <c:v>164</c:v>
                </c:pt>
                <c:pt idx="96">
                  <c:v>241</c:v>
                </c:pt>
                <c:pt idx="97">
                  <c:v>212</c:v>
                </c:pt>
                <c:pt idx="98">
                  <c:v>278</c:v>
                </c:pt>
                <c:pt idx="99">
                  <c:v>799</c:v>
                </c:pt>
                <c:pt idx="100">
                  <c:v>816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15-433F-BBFE-9812A5B587C5}"/>
            </c:ext>
          </c:extLst>
        </c:ser>
        <c:ser>
          <c:idx val="3"/>
          <c:order val="3"/>
          <c:tx>
            <c:strRef>
              <c:f>b_stick!$I$8</c:f>
              <c:strCache>
                <c:ptCount val="1"/>
                <c:pt idx="0">
                  <c:v>마르지엘라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b_stick!$I$9:$I$134</c:f>
              <c:numCache>
                <c:formatCode>#,##0</c:formatCode>
                <c:ptCount val="126"/>
                <c:pt idx="0">
                  <c:v>1532</c:v>
                </c:pt>
                <c:pt idx="1">
                  <c:v>1116</c:v>
                </c:pt>
                <c:pt idx="2">
                  <c:v>632</c:v>
                </c:pt>
                <c:pt idx="3">
                  <c:v>575</c:v>
                </c:pt>
                <c:pt idx="4">
                  <c:v>573</c:v>
                </c:pt>
                <c:pt idx="5">
                  <c:v>610</c:v>
                </c:pt>
                <c:pt idx="6">
                  <c:v>747</c:v>
                </c:pt>
                <c:pt idx="7">
                  <c:v>787</c:v>
                </c:pt>
                <c:pt idx="8">
                  <c:v>0</c:v>
                </c:pt>
                <c:pt idx="9">
                  <c:v>349</c:v>
                </c:pt>
                <c:pt idx="10">
                  <c:v>367</c:v>
                </c:pt>
                <c:pt idx="11">
                  <c:v>302</c:v>
                </c:pt>
                <c:pt idx="12">
                  <c:v>339</c:v>
                </c:pt>
                <c:pt idx="13">
                  <c:v>415</c:v>
                </c:pt>
                <c:pt idx="14">
                  <c:v>1098</c:v>
                </c:pt>
                <c:pt idx="15">
                  <c:v>959</c:v>
                </c:pt>
                <c:pt idx="16">
                  <c:v>395</c:v>
                </c:pt>
                <c:pt idx="17">
                  <c:v>350</c:v>
                </c:pt>
                <c:pt idx="18">
                  <c:v>424</c:v>
                </c:pt>
                <c:pt idx="19">
                  <c:v>407</c:v>
                </c:pt>
                <c:pt idx="20">
                  <c:v>462</c:v>
                </c:pt>
                <c:pt idx="21">
                  <c:v>1337</c:v>
                </c:pt>
                <c:pt idx="22">
                  <c:v>928</c:v>
                </c:pt>
                <c:pt idx="23">
                  <c:v>420</c:v>
                </c:pt>
                <c:pt idx="24">
                  <c:v>382</c:v>
                </c:pt>
                <c:pt idx="25">
                  <c:v>365</c:v>
                </c:pt>
                <c:pt idx="26">
                  <c:v>319</c:v>
                </c:pt>
                <c:pt idx="27">
                  <c:v>510</c:v>
                </c:pt>
                <c:pt idx="28">
                  <c:v>0</c:v>
                </c:pt>
                <c:pt idx="29">
                  <c:v>0</c:v>
                </c:pt>
                <c:pt idx="30">
                  <c:v>809</c:v>
                </c:pt>
                <c:pt idx="31">
                  <c:v>694</c:v>
                </c:pt>
                <c:pt idx="32">
                  <c:v>424</c:v>
                </c:pt>
                <c:pt idx="33">
                  <c:v>406</c:v>
                </c:pt>
                <c:pt idx="34">
                  <c:v>592</c:v>
                </c:pt>
                <c:pt idx="35">
                  <c:v>1310</c:v>
                </c:pt>
                <c:pt idx="36">
                  <c:v>1277</c:v>
                </c:pt>
                <c:pt idx="37">
                  <c:v>695</c:v>
                </c:pt>
                <c:pt idx="38">
                  <c:v>677</c:v>
                </c:pt>
                <c:pt idx="39">
                  <c:v>198</c:v>
                </c:pt>
                <c:pt idx="40">
                  <c:v>186</c:v>
                </c:pt>
                <c:pt idx="41">
                  <c:v>256</c:v>
                </c:pt>
                <c:pt idx="42">
                  <c:v>638</c:v>
                </c:pt>
                <c:pt idx="43">
                  <c:v>507</c:v>
                </c:pt>
                <c:pt idx="44">
                  <c:v>258</c:v>
                </c:pt>
                <c:pt idx="45">
                  <c:v>245</c:v>
                </c:pt>
                <c:pt idx="46">
                  <c:v>195</c:v>
                </c:pt>
                <c:pt idx="47">
                  <c:v>190</c:v>
                </c:pt>
                <c:pt idx="48">
                  <c:v>294</c:v>
                </c:pt>
                <c:pt idx="49">
                  <c:v>638</c:v>
                </c:pt>
                <c:pt idx="50">
                  <c:v>529</c:v>
                </c:pt>
                <c:pt idx="51">
                  <c:v>280</c:v>
                </c:pt>
                <c:pt idx="52">
                  <c:v>348</c:v>
                </c:pt>
                <c:pt idx="53">
                  <c:v>241</c:v>
                </c:pt>
                <c:pt idx="54">
                  <c:v>239</c:v>
                </c:pt>
                <c:pt idx="55">
                  <c:v>273</c:v>
                </c:pt>
                <c:pt idx="56">
                  <c:v>573</c:v>
                </c:pt>
                <c:pt idx="57">
                  <c:v>504</c:v>
                </c:pt>
                <c:pt idx="58">
                  <c:v>224</c:v>
                </c:pt>
                <c:pt idx="59">
                  <c:v>196</c:v>
                </c:pt>
                <c:pt idx="60">
                  <c:v>471</c:v>
                </c:pt>
                <c:pt idx="61">
                  <c:v>228</c:v>
                </c:pt>
                <c:pt idx="62">
                  <c:v>234</c:v>
                </c:pt>
                <c:pt idx="63">
                  <c:v>554</c:v>
                </c:pt>
                <c:pt idx="64">
                  <c:v>465</c:v>
                </c:pt>
                <c:pt idx="65">
                  <c:v>259</c:v>
                </c:pt>
                <c:pt idx="66">
                  <c:v>246</c:v>
                </c:pt>
                <c:pt idx="67">
                  <c:v>526</c:v>
                </c:pt>
                <c:pt idx="68">
                  <c:v>137</c:v>
                </c:pt>
                <c:pt idx="69">
                  <c:v>192</c:v>
                </c:pt>
                <c:pt idx="70">
                  <c:v>460</c:v>
                </c:pt>
                <c:pt idx="71">
                  <c:v>447</c:v>
                </c:pt>
                <c:pt idx="72">
                  <c:v>44</c:v>
                </c:pt>
                <c:pt idx="73">
                  <c:v>130</c:v>
                </c:pt>
                <c:pt idx="74">
                  <c:v>179</c:v>
                </c:pt>
                <c:pt idx="75">
                  <c:v>152</c:v>
                </c:pt>
                <c:pt idx="76">
                  <c:v>213</c:v>
                </c:pt>
                <c:pt idx="77">
                  <c:v>575</c:v>
                </c:pt>
                <c:pt idx="78">
                  <c:v>417</c:v>
                </c:pt>
                <c:pt idx="79">
                  <c:v>164</c:v>
                </c:pt>
                <c:pt idx="80">
                  <c:v>197</c:v>
                </c:pt>
                <c:pt idx="81">
                  <c:v>168</c:v>
                </c:pt>
                <c:pt idx="82">
                  <c:v>185</c:v>
                </c:pt>
                <c:pt idx="83">
                  <c:v>232</c:v>
                </c:pt>
                <c:pt idx="84">
                  <c:v>739</c:v>
                </c:pt>
                <c:pt idx="85">
                  <c:v>587</c:v>
                </c:pt>
                <c:pt idx="86">
                  <c:v>293</c:v>
                </c:pt>
                <c:pt idx="87">
                  <c:v>271</c:v>
                </c:pt>
                <c:pt idx="88">
                  <c:v>280</c:v>
                </c:pt>
                <c:pt idx="89">
                  <c:v>382</c:v>
                </c:pt>
                <c:pt idx="90">
                  <c:v>586</c:v>
                </c:pt>
                <c:pt idx="91">
                  <c:v>1007</c:v>
                </c:pt>
                <c:pt idx="92">
                  <c:v>929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15-433F-BBFE-9812A5B587C5}"/>
            </c:ext>
          </c:extLst>
        </c:ser>
        <c:ser>
          <c:idx val="4"/>
          <c:order val="4"/>
          <c:tx>
            <c:strRef>
              <c:f>b_stick!$J$8</c:f>
              <c:strCache>
                <c:ptCount val="1"/>
                <c:pt idx="0">
                  <c:v>제이알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b_stick!$J$9:$J$134</c:f>
              <c:numCache>
                <c:formatCode>#,##0</c:formatCode>
                <c:ptCount val="126"/>
                <c:pt idx="0">
                  <c:v>106</c:v>
                </c:pt>
                <c:pt idx="1">
                  <c:v>107</c:v>
                </c:pt>
                <c:pt idx="2">
                  <c:v>287</c:v>
                </c:pt>
                <c:pt idx="3">
                  <c:v>205</c:v>
                </c:pt>
                <c:pt idx="4">
                  <c:v>115</c:v>
                </c:pt>
                <c:pt idx="5">
                  <c:v>64</c:v>
                </c:pt>
                <c:pt idx="6">
                  <c:v>106</c:v>
                </c:pt>
                <c:pt idx="7">
                  <c:v>54</c:v>
                </c:pt>
                <c:pt idx="8">
                  <c:v>96</c:v>
                </c:pt>
                <c:pt idx="9">
                  <c:v>101</c:v>
                </c:pt>
                <c:pt idx="10">
                  <c:v>282</c:v>
                </c:pt>
                <c:pt idx="11">
                  <c:v>173</c:v>
                </c:pt>
                <c:pt idx="12">
                  <c:v>85</c:v>
                </c:pt>
                <c:pt idx="13">
                  <c:v>84</c:v>
                </c:pt>
                <c:pt idx="14">
                  <c:v>111</c:v>
                </c:pt>
                <c:pt idx="15">
                  <c:v>107</c:v>
                </c:pt>
                <c:pt idx="16">
                  <c:v>134</c:v>
                </c:pt>
                <c:pt idx="17">
                  <c:v>213</c:v>
                </c:pt>
                <c:pt idx="18">
                  <c:v>184</c:v>
                </c:pt>
                <c:pt idx="19">
                  <c:v>59</c:v>
                </c:pt>
                <c:pt idx="20">
                  <c:v>100</c:v>
                </c:pt>
                <c:pt idx="21">
                  <c:v>73</c:v>
                </c:pt>
                <c:pt idx="22">
                  <c:v>97</c:v>
                </c:pt>
                <c:pt idx="23">
                  <c:v>112</c:v>
                </c:pt>
                <c:pt idx="24">
                  <c:v>266</c:v>
                </c:pt>
                <c:pt idx="25">
                  <c:v>204</c:v>
                </c:pt>
                <c:pt idx="26">
                  <c:v>200</c:v>
                </c:pt>
                <c:pt idx="27">
                  <c:v>68</c:v>
                </c:pt>
                <c:pt idx="28">
                  <c:v>128</c:v>
                </c:pt>
                <c:pt idx="29">
                  <c:v>54</c:v>
                </c:pt>
                <c:pt idx="30">
                  <c:v>122</c:v>
                </c:pt>
                <c:pt idx="31">
                  <c:v>157</c:v>
                </c:pt>
                <c:pt idx="32">
                  <c:v>164</c:v>
                </c:pt>
                <c:pt idx="33">
                  <c:v>125</c:v>
                </c:pt>
                <c:pt idx="34">
                  <c:v>131</c:v>
                </c:pt>
                <c:pt idx="35">
                  <c:v>83</c:v>
                </c:pt>
                <c:pt idx="36">
                  <c:v>97</c:v>
                </c:pt>
                <c:pt idx="37">
                  <c:v>68</c:v>
                </c:pt>
                <c:pt idx="38">
                  <c:v>195</c:v>
                </c:pt>
                <c:pt idx="39">
                  <c:v>158</c:v>
                </c:pt>
                <c:pt idx="40">
                  <c:v>25</c:v>
                </c:pt>
                <c:pt idx="41">
                  <c:v>122</c:v>
                </c:pt>
                <c:pt idx="42">
                  <c:v>102</c:v>
                </c:pt>
                <c:pt idx="43">
                  <c:v>74</c:v>
                </c:pt>
                <c:pt idx="44">
                  <c:v>159</c:v>
                </c:pt>
                <c:pt idx="45">
                  <c:v>194</c:v>
                </c:pt>
                <c:pt idx="46">
                  <c:v>154</c:v>
                </c:pt>
                <c:pt idx="47">
                  <c:v>84</c:v>
                </c:pt>
                <c:pt idx="48">
                  <c:v>62</c:v>
                </c:pt>
                <c:pt idx="49">
                  <c:v>84</c:v>
                </c:pt>
                <c:pt idx="50">
                  <c:v>140</c:v>
                </c:pt>
                <c:pt idx="51">
                  <c:v>106</c:v>
                </c:pt>
                <c:pt idx="52">
                  <c:v>189</c:v>
                </c:pt>
                <c:pt idx="53">
                  <c:v>177</c:v>
                </c:pt>
                <c:pt idx="54">
                  <c:v>65</c:v>
                </c:pt>
                <c:pt idx="55">
                  <c:v>76</c:v>
                </c:pt>
                <c:pt idx="56">
                  <c:v>150</c:v>
                </c:pt>
                <c:pt idx="57">
                  <c:v>110</c:v>
                </c:pt>
                <c:pt idx="58">
                  <c:v>145</c:v>
                </c:pt>
                <c:pt idx="59">
                  <c:v>223</c:v>
                </c:pt>
                <c:pt idx="60">
                  <c:v>318</c:v>
                </c:pt>
                <c:pt idx="61">
                  <c:v>140</c:v>
                </c:pt>
                <c:pt idx="62">
                  <c:v>81</c:v>
                </c:pt>
                <c:pt idx="63">
                  <c:v>137</c:v>
                </c:pt>
                <c:pt idx="64">
                  <c:v>120</c:v>
                </c:pt>
                <c:pt idx="65">
                  <c:v>166</c:v>
                </c:pt>
                <c:pt idx="66">
                  <c:v>251</c:v>
                </c:pt>
                <c:pt idx="67">
                  <c:v>323</c:v>
                </c:pt>
                <c:pt idx="68">
                  <c:v>21</c:v>
                </c:pt>
                <c:pt idx="69">
                  <c:v>123</c:v>
                </c:pt>
                <c:pt idx="70">
                  <c:v>148</c:v>
                </c:pt>
                <c:pt idx="71">
                  <c:v>81</c:v>
                </c:pt>
                <c:pt idx="72">
                  <c:v>400</c:v>
                </c:pt>
                <c:pt idx="73">
                  <c:v>408</c:v>
                </c:pt>
                <c:pt idx="74">
                  <c:v>384</c:v>
                </c:pt>
                <c:pt idx="75">
                  <c:v>147</c:v>
                </c:pt>
                <c:pt idx="76">
                  <c:v>87</c:v>
                </c:pt>
                <c:pt idx="77">
                  <c:v>122</c:v>
                </c:pt>
                <c:pt idx="78">
                  <c:v>126</c:v>
                </c:pt>
                <c:pt idx="79">
                  <c:v>194</c:v>
                </c:pt>
                <c:pt idx="80">
                  <c:v>497</c:v>
                </c:pt>
                <c:pt idx="81">
                  <c:v>437</c:v>
                </c:pt>
                <c:pt idx="82">
                  <c:v>197</c:v>
                </c:pt>
                <c:pt idx="83">
                  <c:v>175</c:v>
                </c:pt>
                <c:pt idx="84">
                  <c:v>288</c:v>
                </c:pt>
                <c:pt idx="85">
                  <c:v>211</c:v>
                </c:pt>
                <c:pt idx="86">
                  <c:v>264</c:v>
                </c:pt>
                <c:pt idx="87">
                  <c:v>695</c:v>
                </c:pt>
                <c:pt idx="88">
                  <c:v>649</c:v>
                </c:pt>
                <c:pt idx="89">
                  <c:v>314</c:v>
                </c:pt>
                <c:pt idx="90">
                  <c:v>248</c:v>
                </c:pt>
                <c:pt idx="91">
                  <c:v>262</c:v>
                </c:pt>
                <c:pt idx="92">
                  <c:v>364</c:v>
                </c:pt>
                <c:pt idx="93">
                  <c:v>361</c:v>
                </c:pt>
                <c:pt idx="94">
                  <c:v>701</c:v>
                </c:pt>
                <c:pt idx="95">
                  <c:v>786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15-433F-BBFE-9812A5B587C5}"/>
            </c:ext>
          </c:extLst>
        </c:ser>
        <c:ser>
          <c:idx val="5"/>
          <c:order val="5"/>
          <c:tx>
            <c:strRef>
              <c:f>b_stick!$K$8</c:f>
              <c:strCache>
                <c:ptCount val="1"/>
                <c:pt idx="0">
                  <c:v>오스틴 리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b_stick!$K$9:$K$134</c:f>
              <c:numCache>
                <c:formatCode>#,##0</c:formatCode>
                <c:ptCount val="126"/>
                <c:pt idx="0">
                  <c:v>227</c:v>
                </c:pt>
                <c:pt idx="1">
                  <c:v>274</c:v>
                </c:pt>
                <c:pt idx="2">
                  <c:v>124</c:v>
                </c:pt>
                <c:pt idx="3">
                  <c:v>105</c:v>
                </c:pt>
                <c:pt idx="4">
                  <c:v>413</c:v>
                </c:pt>
                <c:pt idx="5">
                  <c:v>305</c:v>
                </c:pt>
                <c:pt idx="6">
                  <c:v>349</c:v>
                </c:pt>
                <c:pt idx="7">
                  <c:v>336</c:v>
                </c:pt>
                <c:pt idx="8">
                  <c:v>120</c:v>
                </c:pt>
                <c:pt idx="9">
                  <c:v>96</c:v>
                </c:pt>
                <c:pt idx="10">
                  <c:v>202</c:v>
                </c:pt>
                <c:pt idx="11">
                  <c:v>383</c:v>
                </c:pt>
                <c:pt idx="12">
                  <c:v>404</c:v>
                </c:pt>
                <c:pt idx="13">
                  <c:v>371</c:v>
                </c:pt>
                <c:pt idx="14">
                  <c:v>126</c:v>
                </c:pt>
                <c:pt idx="15">
                  <c:v>99</c:v>
                </c:pt>
                <c:pt idx="16">
                  <c:v>236</c:v>
                </c:pt>
                <c:pt idx="17">
                  <c:v>189</c:v>
                </c:pt>
                <c:pt idx="18">
                  <c:v>567</c:v>
                </c:pt>
                <c:pt idx="19">
                  <c:v>341</c:v>
                </c:pt>
                <c:pt idx="20">
                  <c:v>0</c:v>
                </c:pt>
                <c:pt idx="21">
                  <c:v>114</c:v>
                </c:pt>
                <c:pt idx="22">
                  <c:v>129</c:v>
                </c:pt>
                <c:pt idx="23">
                  <c:v>159</c:v>
                </c:pt>
                <c:pt idx="24">
                  <c:v>203</c:v>
                </c:pt>
                <c:pt idx="25">
                  <c:v>525</c:v>
                </c:pt>
                <c:pt idx="26">
                  <c:v>353</c:v>
                </c:pt>
                <c:pt idx="27">
                  <c:v>163</c:v>
                </c:pt>
                <c:pt idx="28">
                  <c:v>105</c:v>
                </c:pt>
                <c:pt idx="29">
                  <c:v>130</c:v>
                </c:pt>
                <c:pt idx="30">
                  <c:v>120</c:v>
                </c:pt>
                <c:pt idx="31">
                  <c:v>177</c:v>
                </c:pt>
                <c:pt idx="32">
                  <c:v>326</c:v>
                </c:pt>
                <c:pt idx="33">
                  <c:v>320</c:v>
                </c:pt>
                <c:pt idx="34">
                  <c:v>94</c:v>
                </c:pt>
                <c:pt idx="35">
                  <c:v>122</c:v>
                </c:pt>
                <c:pt idx="36">
                  <c:v>127</c:v>
                </c:pt>
                <c:pt idx="37">
                  <c:v>95</c:v>
                </c:pt>
                <c:pt idx="38">
                  <c:v>151</c:v>
                </c:pt>
                <c:pt idx="39">
                  <c:v>487</c:v>
                </c:pt>
                <c:pt idx="40">
                  <c:v>427</c:v>
                </c:pt>
                <c:pt idx="41">
                  <c:v>0</c:v>
                </c:pt>
                <c:pt idx="42">
                  <c:v>135</c:v>
                </c:pt>
                <c:pt idx="43">
                  <c:v>161</c:v>
                </c:pt>
                <c:pt idx="44">
                  <c:v>126</c:v>
                </c:pt>
                <c:pt idx="45">
                  <c:v>153</c:v>
                </c:pt>
                <c:pt idx="46">
                  <c:v>521</c:v>
                </c:pt>
                <c:pt idx="47">
                  <c:v>523</c:v>
                </c:pt>
                <c:pt idx="48">
                  <c:v>157</c:v>
                </c:pt>
                <c:pt idx="49">
                  <c:v>102</c:v>
                </c:pt>
                <c:pt idx="50">
                  <c:v>143</c:v>
                </c:pt>
                <c:pt idx="51">
                  <c:v>125</c:v>
                </c:pt>
                <c:pt idx="52">
                  <c:v>269</c:v>
                </c:pt>
                <c:pt idx="53">
                  <c:v>502</c:v>
                </c:pt>
                <c:pt idx="54">
                  <c:v>564</c:v>
                </c:pt>
                <c:pt idx="55">
                  <c:v>135</c:v>
                </c:pt>
                <c:pt idx="56">
                  <c:v>117</c:v>
                </c:pt>
                <c:pt idx="57">
                  <c:v>157</c:v>
                </c:pt>
                <c:pt idx="58">
                  <c:v>169</c:v>
                </c:pt>
                <c:pt idx="59">
                  <c:v>263</c:v>
                </c:pt>
                <c:pt idx="60">
                  <c:v>544</c:v>
                </c:pt>
                <c:pt idx="61">
                  <c:v>532</c:v>
                </c:pt>
                <c:pt idx="62">
                  <c:v>136</c:v>
                </c:pt>
                <c:pt idx="63">
                  <c:v>138</c:v>
                </c:pt>
                <c:pt idx="64">
                  <c:v>146</c:v>
                </c:pt>
                <c:pt idx="65">
                  <c:v>118</c:v>
                </c:pt>
                <c:pt idx="66">
                  <c:v>159</c:v>
                </c:pt>
                <c:pt idx="67">
                  <c:v>502</c:v>
                </c:pt>
                <c:pt idx="68">
                  <c:v>464</c:v>
                </c:pt>
                <c:pt idx="69">
                  <c:v>94</c:v>
                </c:pt>
                <c:pt idx="70">
                  <c:v>139</c:v>
                </c:pt>
                <c:pt idx="71">
                  <c:v>135</c:v>
                </c:pt>
                <c:pt idx="72">
                  <c:v>250</c:v>
                </c:pt>
                <c:pt idx="73">
                  <c:v>193</c:v>
                </c:pt>
                <c:pt idx="74">
                  <c:v>602</c:v>
                </c:pt>
                <c:pt idx="75">
                  <c:v>482</c:v>
                </c:pt>
                <c:pt idx="76">
                  <c:v>161</c:v>
                </c:pt>
                <c:pt idx="77">
                  <c:v>188</c:v>
                </c:pt>
                <c:pt idx="78">
                  <c:v>236</c:v>
                </c:pt>
                <c:pt idx="79">
                  <c:v>154</c:v>
                </c:pt>
                <c:pt idx="80">
                  <c:v>451</c:v>
                </c:pt>
                <c:pt idx="81">
                  <c:v>619</c:v>
                </c:pt>
                <c:pt idx="82">
                  <c:v>542</c:v>
                </c:pt>
                <c:pt idx="83">
                  <c:v>263</c:v>
                </c:pt>
                <c:pt idx="84">
                  <c:v>234</c:v>
                </c:pt>
                <c:pt idx="85">
                  <c:v>332</c:v>
                </c:pt>
                <c:pt idx="86">
                  <c:v>265</c:v>
                </c:pt>
                <c:pt idx="87">
                  <c:v>370</c:v>
                </c:pt>
                <c:pt idx="88">
                  <c:v>690</c:v>
                </c:pt>
                <c:pt idx="89">
                  <c:v>713</c:v>
                </c:pt>
                <c:pt idx="90">
                  <c:v>799</c:v>
                </c:pt>
                <c:pt idx="91">
                  <c:v>399</c:v>
                </c:pt>
                <c:pt idx="92">
                  <c:v>421</c:v>
                </c:pt>
                <c:pt idx="93">
                  <c:v>564</c:v>
                </c:pt>
                <c:pt idx="94">
                  <c:v>689</c:v>
                </c:pt>
                <c:pt idx="95">
                  <c:v>772</c:v>
                </c:pt>
                <c:pt idx="96">
                  <c:v>1190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15-433F-BBFE-9812A5B587C5}"/>
            </c:ext>
          </c:extLst>
        </c:ser>
        <c:ser>
          <c:idx val="6"/>
          <c:order val="6"/>
          <c:tx>
            <c:strRef>
              <c:f>b_stick!$L$8</c:f>
              <c:strCache>
                <c:ptCount val="1"/>
                <c:pt idx="0">
                  <c:v>윤협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b_stick!$C$9:$E$134</c:f>
              <c:multiLvlStrCache>
                <c:ptCount val="126"/>
                <c:lvl>
                  <c:pt idx="0">
                    <c:v>158</c:v>
                  </c:pt>
                  <c:pt idx="1">
                    <c:v>265</c:v>
                  </c:pt>
                  <c:pt idx="2">
                    <c:v>151</c:v>
                  </c:pt>
                  <c:pt idx="3">
                    <c:v>0</c:v>
                  </c:pt>
                  <c:pt idx="4">
                    <c:v>70</c:v>
                  </c:pt>
                  <c:pt idx="5">
                    <c:v>69</c:v>
                  </c:pt>
                  <c:pt idx="6">
                    <c:v>132</c:v>
                  </c:pt>
                  <c:pt idx="7">
                    <c:v>96</c:v>
                  </c:pt>
                  <c:pt idx="8">
                    <c:v>254</c:v>
                  </c:pt>
                  <c:pt idx="9">
                    <c:v>164</c:v>
                  </c:pt>
                  <c:pt idx="10">
                    <c:v>106</c:v>
                  </c:pt>
                  <c:pt idx="11">
                    <c:v>54</c:v>
                  </c:pt>
                  <c:pt idx="12">
                    <c:v>90</c:v>
                  </c:pt>
                  <c:pt idx="13">
                    <c:v>104</c:v>
                  </c:pt>
                  <c:pt idx="14">
                    <c:v>99</c:v>
                  </c:pt>
                  <c:pt idx="15">
                    <c:v>281</c:v>
                  </c:pt>
                  <c:pt idx="16">
                    <c:v>236</c:v>
                  </c:pt>
                  <c:pt idx="17">
                    <c:v>105</c:v>
                  </c:pt>
                  <c:pt idx="18">
                    <c:v>93</c:v>
                  </c:pt>
                  <c:pt idx="19">
                    <c:v>217</c:v>
                  </c:pt>
                  <c:pt idx="20">
                    <c:v>121</c:v>
                  </c:pt>
                  <c:pt idx="21">
                    <c:v>76</c:v>
                  </c:pt>
                  <c:pt idx="22">
                    <c:v>283</c:v>
                  </c:pt>
                  <c:pt idx="23">
                    <c:v>229</c:v>
                  </c:pt>
                  <c:pt idx="24">
                    <c:v>80</c:v>
                  </c:pt>
                  <c:pt idx="25">
                    <c:v>56</c:v>
                  </c:pt>
                  <c:pt idx="26">
                    <c:v>55</c:v>
                  </c:pt>
                  <c:pt idx="27">
                    <c:v>61</c:v>
                  </c:pt>
                  <c:pt idx="28">
                    <c:v>86</c:v>
                  </c:pt>
                  <c:pt idx="29">
                    <c:v>283</c:v>
                  </c:pt>
                  <c:pt idx="30">
                    <c:v>281</c:v>
                  </c:pt>
                  <c:pt idx="31">
                    <c:v>60</c:v>
                  </c:pt>
                  <c:pt idx="32">
                    <c:v>83</c:v>
                  </c:pt>
                  <c:pt idx="33">
                    <c:v>248</c:v>
                  </c:pt>
                  <c:pt idx="34">
                    <c:v>65</c:v>
                  </c:pt>
                  <c:pt idx="35">
                    <c:v>192</c:v>
                  </c:pt>
                  <c:pt idx="36">
                    <c:v>354</c:v>
                  </c:pt>
                  <c:pt idx="37">
                    <c:v>224</c:v>
                  </c:pt>
                  <c:pt idx="38">
                    <c:v>0</c:v>
                  </c:pt>
                  <c:pt idx="39">
                    <c:v>99</c:v>
                  </c:pt>
                  <c:pt idx="40">
                    <c:v>105</c:v>
                  </c:pt>
                  <c:pt idx="41">
                    <c:v>51</c:v>
                  </c:pt>
                  <c:pt idx="42">
                    <c:v>76</c:v>
                  </c:pt>
                  <c:pt idx="43">
                    <c:v>251</c:v>
                  </c:pt>
                  <c:pt idx="44">
                    <c:v>158</c:v>
                  </c:pt>
                  <c:pt idx="45">
                    <c:v>51</c:v>
                  </c:pt>
                  <c:pt idx="46">
                    <c:v>32</c:v>
                  </c:pt>
                  <c:pt idx="47">
                    <c:v>36</c:v>
                  </c:pt>
                  <c:pt idx="48">
                    <c:v>57</c:v>
                  </c:pt>
                  <c:pt idx="49">
                    <c:v>68</c:v>
                  </c:pt>
                  <c:pt idx="50">
                    <c:v>245</c:v>
                  </c:pt>
                  <c:pt idx="51">
                    <c:v>158</c:v>
                  </c:pt>
                  <c:pt idx="52">
                    <c:v>64</c:v>
                  </c:pt>
                  <c:pt idx="53">
                    <c:v>89</c:v>
                  </c:pt>
                  <c:pt idx="54">
                    <c:v>77</c:v>
                  </c:pt>
                  <c:pt idx="55">
                    <c:v>84</c:v>
                  </c:pt>
                  <c:pt idx="56">
                    <c:v>82</c:v>
                  </c:pt>
                  <c:pt idx="57">
                    <c:v>313</c:v>
                  </c:pt>
                  <c:pt idx="58">
                    <c:v>174</c:v>
                  </c:pt>
                  <c:pt idx="59">
                    <c:v>0</c:v>
                  </c:pt>
                  <c:pt idx="60">
                    <c:v>69</c:v>
                  </c:pt>
                  <c:pt idx="61">
                    <c:v>62</c:v>
                  </c:pt>
                  <c:pt idx="62">
                    <c:v>115</c:v>
                  </c:pt>
                  <c:pt idx="63">
                    <c:v>130</c:v>
                  </c:pt>
                  <c:pt idx="64">
                    <c:v>337</c:v>
                  </c:pt>
                  <c:pt idx="65">
                    <c:v>214</c:v>
                  </c:pt>
                  <c:pt idx="66">
                    <c:v>141</c:v>
                  </c:pt>
                  <c:pt idx="67">
                    <c:v>82</c:v>
                  </c:pt>
                  <c:pt idx="68">
                    <c:v>79</c:v>
                  </c:pt>
                  <c:pt idx="69">
                    <c:v>146</c:v>
                  </c:pt>
                  <c:pt idx="70">
                    <c:v>132</c:v>
                  </c:pt>
                  <c:pt idx="71">
                    <c:v>543</c:v>
                  </c:pt>
                  <c:pt idx="72">
                    <c:v>353</c:v>
                  </c:pt>
                  <c:pt idx="73">
                    <c:v>150</c:v>
                  </c:pt>
                  <c:pt idx="74">
                    <c:v>87</c:v>
                  </c:pt>
                  <c:pt idx="75">
                    <c:v>241</c:v>
                  </c:pt>
                  <c:pt idx="76">
                    <c:v>238</c:v>
                  </c:pt>
                  <c:pt idx="77">
                    <c:v>251</c:v>
                  </c:pt>
                  <c:pt idx="78">
                    <c:v>656</c:v>
                  </c:pt>
                  <c:pt idx="79">
                    <c:v>473</c:v>
                  </c:pt>
                  <c:pt idx="80">
                    <c:v>220</c:v>
                  </c:pt>
                  <c:pt idx="81">
                    <c:v>256</c:v>
                  </c:pt>
                  <c:pt idx="82">
                    <c:v>216</c:v>
                  </c:pt>
                  <c:pt idx="83">
                    <c:v>338</c:v>
                  </c:pt>
                  <c:pt idx="84">
                    <c:v>354</c:v>
                  </c:pt>
                  <c:pt idx="85">
                    <c:v>760</c:v>
                  </c:pt>
                  <c:pt idx="86">
                    <c:v>639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</c:lvl>
                <c:lvl>
                  <c:pt idx="0">
                    <c:v>899</c:v>
                  </c:pt>
                  <c:pt idx="1">
                    <c:v>1,682</c:v>
                  </c:pt>
                  <c:pt idx="2">
                    <c:v>1,564</c:v>
                  </c:pt>
                  <c:pt idx="3">
                    <c:v>1,409</c:v>
                  </c:pt>
                  <c:pt idx="4">
                    <c:v>614</c:v>
                  </c:pt>
                  <c:pt idx="5">
                    <c:v>614</c:v>
                  </c:pt>
                  <c:pt idx="6">
                    <c:v>727</c:v>
                  </c:pt>
                  <c:pt idx="7">
                    <c:v>630</c:v>
                  </c:pt>
                  <c:pt idx="8">
                    <c:v>659</c:v>
                  </c:pt>
                  <c:pt idx="9">
                    <c:v>1,752</c:v>
                  </c:pt>
                  <c:pt idx="10">
                    <c:v>1,355</c:v>
                  </c:pt>
                  <c:pt idx="11">
                    <c:v>540</c:v>
                  </c:pt>
                  <c:pt idx="12">
                    <c:v>547</c:v>
                  </c:pt>
                  <c:pt idx="13">
                    <c:v>572</c:v>
                  </c:pt>
                  <c:pt idx="14">
                    <c:v>450</c:v>
                  </c:pt>
                  <c:pt idx="15">
                    <c:v>676</c:v>
                  </c:pt>
                  <c:pt idx="16">
                    <c:v>1,741</c:v>
                  </c:pt>
                  <c:pt idx="17">
                    <c:v>1,210</c:v>
                  </c:pt>
                  <c:pt idx="18">
                    <c:v>649</c:v>
                  </c:pt>
                  <c:pt idx="19">
                    <c:v>491</c:v>
                  </c:pt>
                  <c:pt idx="20">
                    <c:v>694</c:v>
                  </c:pt>
                  <c:pt idx="21">
                    <c:v>558</c:v>
                  </c:pt>
                  <c:pt idx="22">
                    <c:v>765</c:v>
                  </c:pt>
                  <c:pt idx="23">
                    <c:v>1,617</c:v>
                  </c:pt>
                  <c:pt idx="24">
                    <c:v>1,241</c:v>
                  </c:pt>
                  <c:pt idx="25">
                    <c:v>480</c:v>
                  </c:pt>
                  <c:pt idx="26">
                    <c:v>566</c:v>
                  </c:pt>
                  <c:pt idx="27">
                    <c:v>616</c:v>
                  </c:pt>
                  <c:pt idx="28">
                    <c:v>549</c:v>
                  </c:pt>
                  <c:pt idx="29">
                    <c:v>740</c:v>
                  </c:pt>
                  <c:pt idx="30">
                    <c:v>1,556</c:v>
                  </c:pt>
                  <c:pt idx="31">
                    <c:v>1,267</c:v>
                  </c:pt>
                  <c:pt idx="32">
                    <c:v>719</c:v>
                  </c:pt>
                  <c:pt idx="33">
                    <c:v>500</c:v>
                  </c:pt>
                  <c:pt idx="34">
                    <c:v>715</c:v>
                  </c:pt>
                  <c:pt idx="35">
                    <c:v>606</c:v>
                  </c:pt>
                  <c:pt idx="36">
                    <c:v>985</c:v>
                  </c:pt>
                  <c:pt idx="37">
                    <c:v>1,776</c:v>
                  </c:pt>
                  <c:pt idx="38">
                    <c:v>1,300</c:v>
                  </c:pt>
                  <c:pt idx="39">
                    <c:v>617</c:v>
                  </c:pt>
                  <c:pt idx="40">
                    <c:v>579</c:v>
                  </c:pt>
                  <c:pt idx="41">
                    <c:v>697</c:v>
                  </c:pt>
                  <c:pt idx="42">
                    <c:v>561</c:v>
                  </c:pt>
                  <c:pt idx="43">
                    <c:v>755</c:v>
                  </c:pt>
                  <c:pt idx="44">
                    <c:v>1,461</c:v>
                  </c:pt>
                  <c:pt idx="45">
                    <c:v>989</c:v>
                  </c:pt>
                  <c:pt idx="46">
                    <c:v>512</c:v>
                  </c:pt>
                  <c:pt idx="47">
                    <c:v>435</c:v>
                  </c:pt>
                  <c:pt idx="48">
                    <c:v>435</c:v>
                  </c:pt>
                  <c:pt idx="49">
                    <c:v>374</c:v>
                  </c:pt>
                  <c:pt idx="50">
                    <c:v>410</c:v>
                  </c:pt>
                  <c:pt idx="51">
                    <c:v>764</c:v>
                  </c:pt>
                  <c:pt idx="52">
                    <c:v>650</c:v>
                  </c:pt>
                  <c:pt idx="53">
                    <c:v>346</c:v>
                  </c:pt>
                  <c:pt idx="54">
                    <c:v>240</c:v>
                  </c:pt>
                  <c:pt idx="55">
                    <c:v>221</c:v>
                  </c:pt>
                  <c:pt idx="56">
                    <c:v>301</c:v>
                  </c:pt>
                  <c:pt idx="57">
                    <c:v>383</c:v>
                  </c:pt>
                  <c:pt idx="58">
                    <c:v>534</c:v>
                  </c:pt>
                  <c:pt idx="59">
                    <c:v>412</c:v>
                  </c:pt>
                  <c:pt idx="60">
                    <c:v>217</c:v>
                  </c:pt>
                  <c:pt idx="61">
                    <c:v>167</c:v>
                  </c:pt>
                  <c:pt idx="62">
                    <c:v>187</c:v>
                  </c:pt>
                  <c:pt idx="63">
                    <c:v>180</c:v>
                  </c:pt>
                  <c:pt idx="64">
                    <c:v>246</c:v>
                  </c:pt>
                  <c:pt idx="65">
                    <c:v>439</c:v>
                  </c:pt>
                  <c:pt idx="66">
                    <c:v>248</c:v>
                  </c:pt>
                  <c:pt idx="67">
                    <c:v>151</c:v>
                  </c:pt>
                  <c:pt idx="68">
                    <c:v>173</c:v>
                  </c:pt>
                  <c:pt idx="69">
                    <c:v>129</c:v>
                  </c:pt>
                  <c:pt idx="70">
                    <c:v>156</c:v>
                  </c:pt>
                  <c:pt idx="71">
                    <c:v>211</c:v>
                  </c:pt>
                  <c:pt idx="72">
                    <c:v>278</c:v>
                  </c:pt>
                  <c:pt idx="73">
                    <c:v>291</c:v>
                  </c:pt>
                  <c:pt idx="74">
                    <c:v>195</c:v>
                  </c:pt>
                  <c:pt idx="75">
                    <c:v>172</c:v>
                  </c:pt>
                  <c:pt idx="76">
                    <c:v>164</c:v>
                  </c:pt>
                  <c:pt idx="77">
                    <c:v>247</c:v>
                  </c:pt>
                  <c:pt idx="78">
                    <c:v>415</c:v>
                  </c:pt>
                  <c:pt idx="79">
                    <c:v>250</c:v>
                  </c:pt>
                  <c:pt idx="80">
                    <c:v>263</c:v>
                  </c:pt>
                  <c:pt idx="81">
                    <c:v>219</c:v>
                  </c:pt>
                  <c:pt idx="82">
                    <c:v>252</c:v>
                  </c:pt>
                  <c:pt idx="83">
                    <c:v>278</c:v>
                  </c:pt>
                  <c:pt idx="84">
                    <c:v>293</c:v>
                  </c:pt>
                  <c:pt idx="85">
                    <c:v>0</c:v>
                  </c:pt>
                  <c:pt idx="86">
                    <c:v>563</c:v>
                  </c:pt>
                  <c:pt idx="87">
                    <c:v>427</c:v>
                  </c:pt>
                  <c:pt idx="88">
                    <c:v>158</c:v>
                  </c:pt>
                  <c:pt idx="89">
                    <c:v>176</c:v>
                  </c:pt>
                  <c:pt idx="90">
                    <c:v>178</c:v>
                  </c:pt>
                  <c:pt idx="91">
                    <c:v>169</c:v>
                  </c:pt>
                  <c:pt idx="92">
                    <c:v>220</c:v>
                  </c:pt>
                  <c:pt idx="93">
                    <c:v>676</c:v>
                  </c:pt>
                  <c:pt idx="94">
                    <c:v>588</c:v>
                  </c:pt>
                  <c:pt idx="95">
                    <c:v>268</c:v>
                  </c:pt>
                  <c:pt idx="96">
                    <c:v>300</c:v>
                  </c:pt>
                  <c:pt idx="97">
                    <c:v>289</c:v>
                  </c:pt>
                  <c:pt idx="98">
                    <c:v>409</c:v>
                  </c:pt>
                  <c:pt idx="99">
                    <c:v>399</c:v>
                  </c:pt>
                  <c:pt idx="100">
                    <c:v>1,151</c:v>
                  </c:pt>
                  <c:pt idx="101">
                    <c:v>834</c:v>
                  </c:pt>
                  <c:pt idx="102">
                    <c:v>293</c:v>
                  </c:pt>
                  <c:pt idx="103">
                    <c:v>420</c:v>
                  </c:pt>
                  <c:pt idx="104">
                    <c:v>527</c:v>
                  </c:pt>
                  <c:pt idx="105">
                    <c:v>473</c:v>
                  </c:pt>
                  <c:pt idx="106">
                    <c:v>712</c:v>
                  </c:pt>
                  <c:pt idx="107">
                    <c:v>1,369</c:v>
                  </c:pt>
                  <c:pt idx="108">
                    <c:v>1,223</c:v>
                  </c:pt>
                  <c:pt idx="109">
                    <c:v>751</c:v>
                  </c:pt>
                  <c:pt idx="110">
                    <c:v>690</c:v>
                  </c:pt>
                  <c:pt idx="111">
                    <c:v>960</c:v>
                  </c:pt>
                  <c:pt idx="112">
                    <c:v>637</c:v>
                  </c:pt>
                  <c:pt idx="113">
                    <c:v>965</c:v>
                  </c:pt>
                  <c:pt idx="114">
                    <c:v>1,879</c:v>
                  </c:pt>
                  <c:pt idx="115">
                    <c:v>1,832</c:v>
                  </c:pt>
                  <c:pt idx="116">
                    <c:v>1,042</c:v>
                  </c:pt>
                  <c:pt idx="117">
                    <c:v>1,091</c:v>
                  </c:pt>
                  <c:pt idx="118">
                    <c:v>1,156</c:v>
                  </c:pt>
                  <c:pt idx="119">
                    <c:v>1,170</c:v>
                  </c:pt>
                  <c:pt idx="120">
                    <c:v>1,393</c:v>
                  </c:pt>
                  <c:pt idx="121">
                    <c:v>2,534</c:v>
                  </c:pt>
                  <c:pt idx="122">
                    <c:v>2,391</c:v>
                  </c:pt>
                  <c:pt idx="123">
                    <c:v>642</c:v>
                  </c:pt>
                  <c:pt idx="124">
                    <c:v>694</c:v>
                  </c:pt>
                  <c:pt idx="125">
                    <c:v>783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cat>
          <c:val>
            <c:numRef>
              <c:f>b_stick!$L$9:$L$134</c:f>
              <c:numCache>
                <c:formatCode>#,##0</c:formatCode>
                <c:ptCount val="126"/>
                <c:pt idx="0">
                  <c:v>626</c:v>
                </c:pt>
                <c:pt idx="1">
                  <c:v>389</c:v>
                </c:pt>
                <c:pt idx="2">
                  <c:v>135</c:v>
                </c:pt>
                <c:pt idx="3">
                  <c:v>161</c:v>
                </c:pt>
                <c:pt idx="4">
                  <c:v>175</c:v>
                </c:pt>
                <c:pt idx="5">
                  <c:v>140</c:v>
                </c:pt>
                <c:pt idx="6">
                  <c:v>637</c:v>
                </c:pt>
                <c:pt idx="7">
                  <c:v>452</c:v>
                </c:pt>
                <c:pt idx="8">
                  <c:v>241</c:v>
                </c:pt>
                <c:pt idx="9">
                  <c:v>0</c:v>
                </c:pt>
                <c:pt idx="10">
                  <c:v>98</c:v>
                </c:pt>
                <c:pt idx="11">
                  <c:v>106</c:v>
                </c:pt>
                <c:pt idx="12">
                  <c:v>109</c:v>
                </c:pt>
                <c:pt idx="13">
                  <c:v>102</c:v>
                </c:pt>
                <c:pt idx="14">
                  <c:v>413</c:v>
                </c:pt>
                <c:pt idx="15">
                  <c:v>282</c:v>
                </c:pt>
                <c:pt idx="16">
                  <c:v>114</c:v>
                </c:pt>
                <c:pt idx="17">
                  <c:v>109</c:v>
                </c:pt>
                <c:pt idx="18">
                  <c:v>125</c:v>
                </c:pt>
                <c:pt idx="19">
                  <c:v>86</c:v>
                </c:pt>
                <c:pt idx="20">
                  <c:v>154</c:v>
                </c:pt>
                <c:pt idx="21">
                  <c:v>358</c:v>
                </c:pt>
                <c:pt idx="22">
                  <c:v>298</c:v>
                </c:pt>
                <c:pt idx="23">
                  <c:v>101</c:v>
                </c:pt>
                <c:pt idx="24">
                  <c:v>116</c:v>
                </c:pt>
                <c:pt idx="25">
                  <c:v>176</c:v>
                </c:pt>
                <c:pt idx="26">
                  <c:v>126</c:v>
                </c:pt>
                <c:pt idx="27">
                  <c:v>130</c:v>
                </c:pt>
                <c:pt idx="28">
                  <c:v>347</c:v>
                </c:pt>
                <c:pt idx="29">
                  <c:v>258</c:v>
                </c:pt>
                <c:pt idx="30">
                  <c:v>105</c:v>
                </c:pt>
                <c:pt idx="31">
                  <c:v>90</c:v>
                </c:pt>
                <c:pt idx="32">
                  <c:v>150</c:v>
                </c:pt>
                <c:pt idx="33">
                  <c:v>160</c:v>
                </c:pt>
                <c:pt idx="34">
                  <c:v>117</c:v>
                </c:pt>
                <c:pt idx="35">
                  <c:v>389</c:v>
                </c:pt>
                <c:pt idx="36">
                  <c:v>251</c:v>
                </c:pt>
                <c:pt idx="37">
                  <c:v>88</c:v>
                </c:pt>
                <c:pt idx="38">
                  <c:v>103</c:v>
                </c:pt>
                <c:pt idx="39">
                  <c:v>147</c:v>
                </c:pt>
                <c:pt idx="40">
                  <c:v>116</c:v>
                </c:pt>
                <c:pt idx="41">
                  <c:v>308</c:v>
                </c:pt>
                <c:pt idx="42">
                  <c:v>343</c:v>
                </c:pt>
                <c:pt idx="43">
                  <c:v>302</c:v>
                </c:pt>
                <c:pt idx="44">
                  <c:v>143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15-433F-BBFE-9812A5B58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56944"/>
        <c:axId val="-2107755312"/>
      </c:lineChart>
      <c:catAx>
        <c:axId val="-210775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07755312"/>
        <c:crosses val="autoZero"/>
        <c:auto val="1"/>
        <c:lblAlgn val="ctr"/>
        <c:lblOffset val="100"/>
        <c:noMultiLvlLbl val="0"/>
      </c:catAx>
      <c:valAx>
        <c:axId val="-210775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0775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784734943159502E-2"/>
          <c:y val="2.9164671207475842E-2"/>
          <c:w val="0.96443053011368096"/>
          <c:h val="0.81605944164998967"/>
        </c:manualLayout>
      </c:layout>
      <c:barChart>
        <c:barDir val="col"/>
        <c:grouping val="clustered"/>
        <c:varyColors val="0"/>
        <c:ser>
          <c:idx val="1"/>
          <c:order val="0"/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1D-4C11-9590-8AC6839789F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spc="-120" baseline="0">
                      <a:solidFill>
                        <a:schemeClr val="bg1"/>
                      </a:solidFill>
                      <a:latin typeface="나눔바른고딕OTF" panose="02020603020101020101" pitchFamily="18" charset="-127"/>
                      <a:ea typeface="나눔바른고딕OTF" panose="02020603020101020101" pitchFamily="18" charset="-127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91D-4C11-9590-8AC6839789FE}"/>
                </c:ext>
              </c:extLst>
            </c:dLbl>
            <c:dLbl>
              <c:idx val="6"/>
              <c:layout>
                <c:manualLayout>
                  <c:x val="-1.1807630115528622E-16"/>
                  <c:y val="1.97695348132835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27-4981-BDDD-C64039A52F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spc="-120" baseline="0">
                    <a:solidFill>
                      <a:schemeClr val="bg1"/>
                    </a:solidFill>
                    <a:latin typeface="나눔바른고딕OTF" panose="02020603020101020101" pitchFamily="18" charset="-127"/>
                    <a:ea typeface="나눔바른고딕OTF" panose="02020603020101020101" pitchFamily="18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dashboard!$AA$12:$AG$12</c:f>
              <c:strCache>
                <c:ptCount val="7"/>
                <c:pt idx="0">
                  <c:v>윤협
평균관람객</c:v>
                </c:pt>
                <c:pt idx="1">
                  <c:v>4.0만명</c:v>
                </c:pt>
                <c:pt idx="2">
                  <c:v>3.5만명</c:v>
                </c:pt>
                <c:pt idx="3">
                  <c:v>3.0만명</c:v>
                </c:pt>
                <c:pt idx="4">
                  <c:v>2.5만명</c:v>
                </c:pt>
                <c:pt idx="5">
                  <c:v>2.0만명</c:v>
                </c:pt>
                <c:pt idx="6">
                  <c:v>1.5만명</c:v>
                </c:pt>
              </c:strCache>
            </c:strRef>
          </c:cat>
          <c:val>
            <c:numRef>
              <c:f>dashboard!$AA$13:$AG$13</c:f>
              <c:numCache>
                <c:formatCode>#,##0</c:formatCode>
                <c:ptCount val="7"/>
                <c:pt idx="0">
                  <c:v>208.35555555555555</c:v>
                </c:pt>
                <c:pt idx="1">
                  <c:v>430.10752688172045</c:v>
                </c:pt>
                <c:pt idx="2">
                  <c:v>376.3440860215054</c:v>
                </c:pt>
                <c:pt idx="3">
                  <c:v>322.58064516129031</c:v>
                </c:pt>
                <c:pt idx="4">
                  <c:v>268.81720430107526</c:v>
                </c:pt>
                <c:pt idx="5">
                  <c:v>215.05376344086022</c:v>
                </c:pt>
                <c:pt idx="6">
                  <c:v>161.29032258064515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1D-4C11-9590-8AC683978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80"/>
        <c:axId val="1187350927"/>
        <c:axId val="1187340527"/>
      </c:bar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bg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dashboard!$AA$14:$AG$14</c:f>
              <c:numCache>
                <c:formatCode>#,##0</c:formatCode>
                <c:ptCount val="7"/>
                <c:pt idx="0">
                  <c:v>208.35555555555555</c:v>
                </c:pt>
                <c:pt idx="1">
                  <c:v>208.35555555555555</c:v>
                </c:pt>
                <c:pt idx="2">
                  <c:v>208.35555555555555</c:v>
                </c:pt>
                <c:pt idx="3">
                  <c:v>208.35555555555555</c:v>
                </c:pt>
                <c:pt idx="4">
                  <c:v>208.35555555555555</c:v>
                </c:pt>
                <c:pt idx="5">
                  <c:v>208.35555555555555</c:v>
                </c:pt>
                <c:pt idx="6">
                  <c:v>208.35555555555555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D-4C11-9590-8AC683978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350927"/>
        <c:axId val="1187340527"/>
      </c:lineChart>
      <c:catAx>
        <c:axId val="118735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1187340527"/>
        <c:crosses val="autoZero"/>
        <c:auto val="1"/>
        <c:lblAlgn val="ctr"/>
        <c:lblOffset val="100"/>
        <c:noMultiLvlLbl val="0"/>
      </c:catAx>
      <c:valAx>
        <c:axId val="118734052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8735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pc="-120" baseline="0">
          <a:latin typeface="나눔바른고딕OTF Light" panose="02000303000000000000" pitchFamily="50" charset="-127"/>
          <a:ea typeface="나눔바른고딕OTF Light" panose="02000303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404-4FE5-8CC3-DD373CC26622}"/>
              </c:ext>
            </c:extLst>
          </c:dPt>
          <c:dPt>
            <c:idx val="1"/>
            <c:bubble3D val="0"/>
            <c:spPr>
              <a:solidFill>
                <a:srgbClr val="F2AC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404-4FE5-8CC3-DD373CC266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나눔바른고딕OTF" panose="02020603020101020101" pitchFamily="18" charset="-127"/>
                    <a:ea typeface="나눔바른고딕OTF" panose="02020603020101020101" pitchFamily="18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dashboard!$AA$7:$AA$8</c:f>
              <c:strCache>
                <c:ptCount val="2"/>
                <c:pt idx="0">
                  <c:v>유료</c:v>
                </c:pt>
                <c:pt idx="1">
                  <c:v>무료</c:v>
                </c:pt>
              </c:strCache>
            </c:strRef>
          </c:cat>
          <c:val>
            <c:numRef>
              <c:f>dashboard!$AB$7:$AB$8</c:f>
              <c:numCache>
                <c:formatCode>#,##0</c:formatCode>
                <c:ptCount val="2"/>
                <c:pt idx="0">
                  <c:v>7953</c:v>
                </c:pt>
                <c:pt idx="1">
                  <c:v>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4-4FE5-8CC3-DD373CC26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458505796481592"/>
          <c:y val="1.5587589098574047E-2"/>
          <c:w val="0.3837708101146553"/>
          <c:h val="6.3104595399114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bg1"/>
          </a:solidFill>
          <a:latin typeface="나눔바른고딕OTF" panose="02020603020101020101" pitchFamily="18" charset="-127"/>
          <a:ea typeface="나눔바른고딕OTF" panose="02020603020101020101" pitchFamily="18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dashboard!$AA$7</c:f>
              <c:strCache>
                <c:ptCount val="1"/>
                <c:pt idx="0">
                  <c:v>유료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spc="-120" baseline="0">
                    <a:solidFill>
                      <a:schemeClr val="bg1"/>
                    </a:solidFill>
                    <a:latin typeface="나눔바른고딕OTF" panose="02020603020101020101" pitchFamily="18" charset="-127"/>
                    <a:ea typeface="나눔바른고딕OTF" panose="02020603020101020101" pitchFamily="18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dashboard!$AB$6:$AE$6</c:f>
              <c:strCache>
                <c:ptCount val="4"/>
                <c:pt idx="0">
                  <c:v>윤협</c:v>
                </c:pt>
                <c:pt idx="1">
                  <c:v>오스틴 리</c:v>
                </c:pt>
                <c:pt idx="2">
                  <c:v>드리머</c:v>
                </c:pt>
                <c:pt idx="3">
                  <c:v>김정기</c:v>
                </c:pt>
              </c:strCache>
            </c:strRef>
          </c:cat>
          <c:val>
            <c:numRef>
              <c:f>dashboard!$AB$7:$AE$7</c:f>
              <c:numCache>
                <c:formatCode>#,##0</c:formatCode>
                <c:ptCount val="4"/>
                <c:pt idx="0">
                  <c:v>7953</c:v>
                </c:pt>
                <c:pt idx="1">
                  <c:v>8820</c:v>
                </c:pt>
                <c:pt idx="2">
                  <c:v>5985</c:v>
                </c:pt>
                <c:pt idx="3">
                  <c:v>5252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5-4A13-810A-0260099A6779}"/>
            </c:ext>
          </c:extLst>
        </c:ser>
        <c:ser>
          <c:idx val="1"/>
          <c:order val="1"/>
          <c:tx>
            <c:strRef>
              <c:f>dashboard!$AA$8</c:f>
              <c:strCache>
                <c:ptCount val="1"/>
                <c:pt idx="0">
                  <c:v>무료</c:v>
                </c:pt>
              </c:strCache>
            </c:strRef>
          </c:tx>
          <c:spPr>
            <a:solidFill>
              <a:srgbClr val="F2ACC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8625A9F-CE94-498A-B489-E5A3C9554F6F}" type="CELLRANGE">
                      <a:rPr lang="en-US" altLang="ko-KR"/>
                      <a:pPr/>
                      <a:t>[CELLRANGE]</a:t>
                    </a:fld>
                    <a:endParaRPr lang="en-US" altLang="ko-KR" baseline="0"/>
                  </a:p>
                  <a:p>
                    <a:fld id="{2441F6CC-7239-42E1-B4CE-7C2C46ACF2FB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F35-4A13-810A-0260099A67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3386516-AAE5-458C-8201-67019DB024A3}" type="CELLRANGE">
                      <a:rPr lang="en-US" altLang="ko-KR"/>
                      <a:pPr/>
                      <a:t>[CELLRANGE]</a:t>
                    </a:fld>
                    <a:endParaRPr lang="en-US" altLang="ko-KR" baseline="0"/>
                  </a:p>
                  <a:p>
                    <a:fld id="{E9D983B9-44EC-4DA7-BE55-56D25CEB50BC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F35-4A13-810A-0260099A67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FA1225-3646-4FF1-8D88-13ABF43B5E32}" type="CELLRANGE">
                      <a:rPr lang="en-US" altLang="ko-KR"/>
                      <a:pPr/>
                      <a:t>[CELLRANGE]</a:t>
                    </a:fld>
                    <a:endParaRPr lang="en-US" altLang="ko-KR" baseline="0"/>
                  </a:p>
                  <a:p>
                    <a:fld id="{7B2837B1-21DE-44FA-909E-0F586F2A1DB8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F35-4A13-810A-0260099A67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C3BC4C9-C787-4E68-BB1B-3CFA83CF869B}" type="CELLRANGE">
                      <a:rPr lang="en-US" altLang="ko-KR"/>
                      <a:pPr/>
                      <a:t>[CELLRANGE]</a:t>
                    </a:fld>
                    <a:endParaRPr lang="en-US" altLang="ko-KR" baseline="0"/>
                  </a:p>
                  <a:p>
                    <a:fld id="{34376167-5F27-49A8-9270-34ED144C0DA7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F35-4A13-810A-0260099A67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spc="-120" baseline="0">
                    <a:solidFill>
                      <a:schemeClr val="bg1"/>
                    </a:solidFill>
                    <a:latin typeface="나눔바른고딕OTF" panose="02020603020101020101" pitchFamily="18" charset="-127"/>
                    <a:ea typeface="나눔바른고딕OTF" panose="02020603020101020101" pitchFamily="18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dashboard!$AB$6:$AE$6</c:f>
              <c:strCache>
                <c:ptCount val="4"/>
                <c:pt idx="0">
                  <c:v>윤협</c:v>
                </c:pt>
                <c:pt idx="1">
                  <c:v>오스틴 리</c:v>
                </c:pt>
                <c:pt idx="2">
                  <c:v>드리머</c:v>
                </c:pt>
                <c:pt idx="3">
                  <c:v>김정기</c:v>
                </c:pt>
              </c:strCache>
            </c:strRef>
          </c:cat>
          <c:val>
            <c:numRef>
              <c:f>dashboard!$AB$8:$AE$8</c:f>
              <c:numCache>
                <c:formatCode>#,##0</c:formatCode>
                <c:ptCount val="4"/>
                <c:pt idx="0">
                  <c:v>1423</c:v>
                </c:pt>
                <c:pt idx="1">
                  <c:v>1196</c:v>
                </c:pt>
                <c:pt idx="2">
                  <c:v>1139</c:v>
                </c:pt>
                <c:pt idx="3">
                  <c:v>1069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dashboard!$AB$9:$AE$9</c15:f>
                <c15:dlblRangeCache>
                  <c:ptCount val="4"/>
                  <c:pt idx="0">
                    <c:v>15%</c:v>
                  </c:pt>
                  <c:pt idx="1">
                    <c:v>12%</c:v>
                  </c:pt>
                  <c:pt idx="2">
                    <c:v>16%</c:v>
                  </c:pt>
                  <c:pt idx="3">
                    <c:v>17%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F35-4A13-810A-0260099A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50690688"/>
        <c:axId val="1250695264"/>
      </c:barChart>
      <c:catAx>
        <c:axId val="125069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-12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defRPr>
            </a:pPr>
            <a:endParaRPr lang="ko-KR"/>
          </a:p>
        </c:txPr>
        <c:crossAx val="1250695264"/>
        <c:crosses val="autoZero"/>
        <c:auto val="1"/>
        <c:lblAlgn val="ctr"/>
        <c:lblOffset val="100"/>
        <c:noMultiLvlLbl val="0"/>
      </c:catAx>
      <c:valAx>
        <c:axId val="125069526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25069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spc="-120" baseline="0">
          <a:solidFill>
            <a:schemeClr val="bg1"/>
          </a:solidFill>
          <a:latin typeface="나눔바른고딕OTF" panose="02020603020101020101" pitchFamily="18" charset="-127"/>
          <a:ea typeface="나눔바른고딕OTF" panose="02020603020101020101" pitchFamily="18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r>
              <a:rPr lang="ko-KR" altLang="en-US" sz="2000">
                <a:solidFill>
                  <a:schemeClr val="bg1"/>
                </a:solidFill>
              </a:rPr>
              <a:t>일평균 관람객 추이 </a:t>
            </a:r>
            <a:r>
              <a:rPr lang="en-US" altLang="ko-KR" sz="1600">
                <a:solidFill>
                  <a:schemeClr val="bg1"/>
                </a:solidFill>
              </a:rPr>
              <a:t>(</a:t>
            </a:r>
            <a:r>
              <a:rPr lang="ko-KR" altLang="en-US" sz="1600">
                <a:solidFill>
                  <a:schemeClr val="bg1"/>
                </a:solidFill>
              </a:rPr>
              <a:t>최근</a:t>
            </a:r>
            <a:r>
              <a:rPr lang="en-US" altLang="ko-KR" sz="1600">
                <a:solidFill>
                  <a:schemeClr val="bg1"/>
                </a:solidFill>
              </a:rPr>
              <a:t>1</a:t>
            </a:r>
            <a:r>
              <a:rPr lang="ko-KR" altLang="en-US" sz="1600">
                <a:solidFill>
                  <a:schemeClr val="bg1"/>
                </a:solidFill>
              </a:rPr>
              <a:t>주</a:t>
            </a:r>
            <a:r>
              <a:rPr lang="en-US" altLang="ko-KR" sz="1600">
                <a:solidFill>
                  <a:schemeClr val="bg1"/>
                </a:solidFill>
              </a:rPr>
              <a:t>)</a:t>
            </a:r>
            <a:endParaRPr lang="ko-KR" altLang="en-US" sz="16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4701209210438033"/>
          <c:y val="2.64604732238762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1.8632785673481839E-2"/>
          <c:y val="0.15936697200967151"/>
          <c:w val="0.96273442865303638"/>
          <c:h val="0.65001285356828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평균관람객!$B$6</c:f>
              <c:strCache>
                <c:ptCount val="1"/>
                <c:pt idx="0">
                  <c:v>일평균</c:v>
                </c:pt>
              </c:strCache>
            </c:strRef>
          </c:tx>
          <c:spPr>
            <a:noFill/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2AC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38-4579-AB89-227DE756979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spc="-120" baseline="0">
                      <a:solidFill>
                        <a:schemeClr val="bg1"/>
                      </a:solidFill>
                      <a:latin typeface="나눔바른고딕OTF Light" panose="02000303000000000000" pitchFamily="50" charset="-127"/>
                      <a:ea typeface="나눔바른고딕OTF Light" panose="02000303000000000000" pitchFamily="50" charset="-127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B38-4579-AB89-227DE75697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spc="-120" baseline="0">
                    <a:solidFill>
                      <a:schemeClr val="bg1"/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>
                <a:solidFill>
                  <a:schemeClr val="accent5">
                    <a:lumMod val="20000"/>
                    <a:lumOff val="8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평균관람객!$C$5:$J$5</c:f>
              <c:strCache>
                <c:ptCount val="8"/>
                <c:pt idx="0">
                  <c:v>04.08
(월)</c:v>
                </c:pt>
                <c:pt idx="1">
                  <c:v>04.07
(일)</c:v>
                </c:pt>
                <c:pt idx="2">
                  <c:v>04.06
(토)</c:v>
                </c:pt>
                <c:pt idx="3">
                  <c:v>04.05
(금)</c:v>
                </c:pt>
                <c:pt idx="4">
                  <c:v>04.04
(목)</c:v>
                </c:pt>
                <c:pt idx="5">
                  <c:v>04.03
(수)</c:v>
                </c:pt>
                <c:pt idx="6">
                  <c:v>04.02
(화)</c:v>
                </c:pt>
                <c:pt idx="7">
                  <c:v>04.01
(월)</c:v>
                </c:pt>
              </c:strCache>
            </c:strRef>
          </c:cat>
          <c:val>
            <c:numRef>
              <c:f>평균관람객!$C$6:$J$6</c:f>
              <c:numCache>
                <c:formatCode>#,##0</c:formatCode>
                <c:ptCount val="8"/>
                <c:pt idx="0">
                  <c:v>208</c:v>
                </c:pt>
                <c:pt idx="1">
                  <c:v>210</c:v>
                </c:pt>
                <c:pt idx="2">
                  <c:v>208</c:v>
                </c:pt>
                <c:pt idx="3">
                  <c:v>204</c:v>
                </c:pt>
                <c:pt idx="4">
                  <c:v>202</c:v>
                </c:pt>
                <c:pt idx="5">
                  <c:v>204</c:v>
                </c:pt>
                <c:pt idx="6">
                  <c:v>206</c:v>
                </c:pt>
                <c:pt idx="7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38-4579-AB89-227DE7569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-27"/>
        <c:axId val="1948791759"/>
        <c:axId val="1948793839"/>
      </c:barChart>
      <c:lineChart>
        <c:grouping val="standard"/>
        <c:varyColors val="0"/>
        <c:ser>
          <c:idx val="1"/>
          <c:order val="1"/>
          <c:tx>
            <c:strRef>
              <c:f>평균관람객!$B$7</c:f>
              <c:strCache>
                <c:ptCount val="1"/>
                <c:pt idx="0">
                  <c:v>당일평균</c:v>
                </c:pt>
              </c:strCache>
            </c:strRef>
          </c:tx>
          <c:spPr>
            <a:ln w="38100" cap="rnd">
              <a:solidFill>
                <a:srgbClr val="F2ACC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평균관람객!$C$5:$J$5</c:f>
              <c:strCache>
                <c:ptCount val="8"/>
                <c:pt idx="0">
                  <c:v>04.08
(월)</c:v>
                </c:pt>
                <c:pt idx="1">
                  <c:v>04.07
(일)</c:v>
                </c:pt>
                <c:pt idx="2">
                  <c:v>04.06
(토)</c:v>
                </c:pt>
                <c:pt idx="3">
                  <c:v>04.05
(금)</c:v>
                </c:pt>
                <c:pt idx="4">
                  <c:v>04.04
(목)</c:v>
                </c:pt>
                <c:pt idx="5">
                  <c:v>04.03
(수)</c:v>
                </c:pt>
                <c:pt idx="6">
                  <c:v>04.02
(화)</c:v>
                </c:pt>
                <c:pt idx="7">
                  <c:v>04.01
(월)</c:v>
                </c:pt>
              </c:strCache>
            </c:strRef>
          </c:cat>
          <c:val>
            <c:numRef>
              <c:f>평균관람객!$C$7:$J$7</c:f>
              <c:numCache>
                <c:formatCode>#,##0</c:formatCode>
                <c:ptCount val="8"/>
                <c:pt idx="0">
                  <c:v>208</c:v>
                </c:pt>
                <c:pt idx="1">
                  <c:v>208</c:v>
                </c:pt>
                <c:pt idx="2">
                  <c:v>208</c:v>
                </c:pt>
                <c:pt idx="3">
                  <c:v>208</c:v>
                </c:pt>
                <c:pt idx="4">
                  <c:v>208</c:v>
                </c:pt>
                <c:pt idx="5">
                  <c:v>208</c:v>
                </c:pt>
                <c:pt idx="6">
                  <c:v>208</c:v>
                </c:pt>
                <c:pt idx="7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8-4579-AB89-227DE7569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791759"/>
        <c:axId val="1948793839"/>
      </c:lineChart>
      <c:catAx>
        <c:axId val="194879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1948793839"/>
        <c:crosses val="autoZero"/>
        <c:auto val="1"/>
        <c:lblAlgn val="ctr"/>
        <c:lblOffset val="100"/>
        <c:noMultiLvlLbl val="0"/>
      </c:catAx>
      <c:valAx>
        <c:axId val="194879383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94879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75000"/>
      </a:schemeClr>
    </a:solidFill>
    <a:ln w="9525" cap="flat" cmpd="sng" algn="ctr">
      <a:solidFill>
        <a:schemeClr val="bg1">
          <a:lumMod val="85000"/>
        </a:schemeClr>
      </a:solidFill>
      <a:round/>
    </a:ln>
    <a:effectLst>
      <a:outerShdw blurRad="50800" dist="114300" dir="2400000" algn="tl" rotWithShape="0">
        <a:schemeClr val="bg1">
          <a:lumMod val="95000"/>
          <a:alpha val="40000"/>
        </a:schemeClr>
      </a:outerShdw>
    </a:effectLst>
  </c:spPr>
  <c:txPr>
    <a:bodyPr/>
    <a:lstStyle/>
    <a:p>
      <a:pPr>
        <a:defRPr spc="-120" baseline="0">
          <a:latin typeface="나눔바른고딕OTF Light" panose="02000303000000000000" pitchFamily="50" charset="-127"/>
          <a:ea typeface="나눔바른고딕OTF Light" panose="02000303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-12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r>
              <a:rPr lang="ko-KR" altLang="en-US"/>
              <a:t>일평균 관람객 추이 </a:t>
            </a:r>
            <a:r>
              <a:rPr lang="en-US" altLang="ko-KR" sz="1050"/>
              <a:t>(</a:t>
            </a:r>
            <a:r>
              <a:rPr lang="ko-KR" altLang="en-US" sz="1050"/>
              <a:t>최근</a:t>
            </a:r>
            <a:r>
              <a:rPr lang="en-US" altLang="ko-KR" sz="1050"/>
              <a:t>1</a:t>
            </a:r>
            <a:r>
              <a:rPr lang="ko-KR" altLang="en-US" sz="1050"/>
              <a:t>주</a:t>
            </a:r>
            <a:r>
              <a:rPr lang="en-US" altLang="ko-KR" sz="1050"/>
              <a:t>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-120" baseline="0">
              <a:solidFill>
                <a:schemeClr val="tx1">
                  <a:lumMod val="65000"/>
                  <a:lumOff val="35000"/>
                </a:schemeClr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평균관람객!$B$6</c:f>
              <c:strCache>
                <c:ptCount val="1"/>
                <c:pt idx="0">
                  <c:v>일평균</c:v>
                </c:pt>
              </c:strCache>
            </c:strRef>
          </c:tx>
          <c:spPr>
            <a:noFill/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2AC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A36-4528-BA76-BC60C9D9FF3E}"/>
              </c:ext>
            </c:extLst>
          </c:dPt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-12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나눔바른고딕OTF Light" panose="02000303000000000000" pitchFamily="50" charset="-127"/>
                      <a:ea typeface="나눔바른고딕OTF Light" panose="02000303000000000000" pitchFamily="50" charset="-127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A36-4528-BA76-BC60C9D9FF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spc="-12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평균관람객!$C$5:$J$5</c:f>
              <c:strCache>
                <c:ptCount val="8"/>
                <c:pt idx="0">
                  <c:v>04.08
(월)</c:v>
                </c:pt>
                <c:pt idx="1">
                  <c:v>04.07
(일)</c:v>
                </c:pt>
                <c:pt idx="2">
                  <c:v>04.06
(토)</c:v>
                </c:pt>
                <c:pt idx="3">
                  <c:v>04.05
(금)</c:v>
                </c:pt>
                <c:pt idx="4">
                  <c:v>04.04
(목)</c:v>
                </c:pt>
                <c:pt idx="5">
                  <c:v>04.03
(수)</c:v>
                </c:pt>
                <c:pt idx="6">
                  <c:v>04.02
(화)</c:v>
                </c:pt>
                <c:pt idx="7">
                  <c:v>04.01
(월)</c:v>
                </c:pt>
              </c:strCache>
            </c:strRef>
          </c:cat>
          <c:val>
            <c:numRef>
              <c:f>평균관람객!$C$6:$J$6</c:f>
              <c:numCache>
                <c:formatCode>#,##0</c:formatCode>
                <c:ptCount val="8"/>
                <c:pt idx="0">
                  <c:v>208</c:v>
                </c:pt>
                <c:pt idx="1">
                  <c:v>210</c:v>
                </c:pt>
                <c:pt idx="2">
                  <c:v>208</c:v>
                </c:pt>
                <c:pt idx="3">
                  <c:v>204</c:v>
                </c:pt>
                <c:pt idx="4">
                  <c:v>202</c:v>
                </c:pt>
                <c:pt idx="5">
                  <c:v>204</c:v>
                </c:pt>
                <c:pt idx="6">
                  <c:v>206</c:v>
                </c:pt>
                <c:pt idx="7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6-4528-BA76-BC60C9D9F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-27"/>
        <c:axId val="1948791759"/>
        <c:axId val="1948793839"/>
      </c:barChart>
      <c:lineChart>
        <c:grouping val="standard"/>
        <c:varyColors val="0"/>
        <c:ser>
          <c:idx val="1"/>
          <c:order val="1"/>
          <c:tx>
            <c:strRef>
              <c:f>평균관람객!$B$7</c:f>
              <c:strCache>
                <c:ptCount val="1"/>
                <c:pt idx="0">
                  <c:v>당일평균</c:v>
                </c:pt>
              </c:strCache>
            </c:strRef>
          </c:tx>
          <c:spPr>
            <a:ln w="28575" cap="rnd">
              <a:solidFill>
                <a:srgbClr val="F2ACC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평균관람객!$C$5:$J$5</c:f>
              <c:strCache>
                <c:ptCount val="8"/>
                <c:pt idx="0">
                  <c:v>04.08
(월)</c:v>
                </c:pt>
                <c:pt idx="1">
                  <c:v>04.07
(일)</c:v>
                </c:pt>
                <c:pt idx="2">
                  <c:v>04.06
(토)</c:v>
                </c:pt>
                <c:pt idx="3">
                  <c:v>04.05
(금)</c:v>
                </c:pt>
                <c:pt idx="4">
                  <c:v>04.04
(목)</c:v>
                </c:pt>
                <c:pt idx="5">
                  <c:v>04.03
(수)</c:v>
                </c:pt>
                <c:pt idx="6">
                  <c:v>04.02
(화)</c:v>
                </c:pt>
                <c:pt idx="7">
                  <c:v>04.01
(월)</c:v>
                </c:pt>
              </c:strCache>
            </c:strRef>
          </c:cat>
          <c:val>
            <c:numRef>
              <c:f>평균관람객!$C$7:$J$7</c:f>
              <c:numCache>
                <c:formatCode>#,##0</c:formatCode>
                <c:ptCount val="8"/>
                <c:pt idx="0">
                  <c:v>208</c:v>
                </c:pt>
                <c:pt idx="1">
                  <c:v>208</c:v>
                </c:pt>
                <c:pt idx="2">
                  <c:v>208</c:v>
                </c:pt>
                <c:pt idx="3">
                  <c:v>208</c:v>
                </c:pt>
                <c:pt idx="4">
                  <c:v>208</c:v>
                </c:pt>
                <c:pt idx="5">
                  <c:v>208</c:v>
                </c:pt>
                <c:pt idx="6">
                  <c:v>208</c:v>
                </c:pt>
                <c:pt idx="7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36-4528-BA76-BC60C9D9F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791759"/>
        <c:axId val="1948793839"/>
      </c:lineChart>
      <c:catAx>
        <c:axId val="194879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-12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defRPr>
            </a:pPr>
            <a:endParaRPr lang="ko-KR"/>
          </a:p>
        </c:txPr>
        <c:crossAx val="1948793839"/>
        <c:crosses val="autoZero"/>
        <c:auto val="1"/>
        <c:lblAlgn val="ctr"/>
        <c:lblOffset val="100"/>
        <c:noMultiLvlLbl val="0"/>
      </c:catAx>
      <c:valAx>
        <c:axId val="194879383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94879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pc="-120" baseline="0">
          <a:latin typeface="나눔바른고딕OTF Light" panose="02000303000000000000" pitchFamily="50" charset="-127"/>
          <a:ea typeface="나눔바른고딕OTF Light" panose="02000303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B$2" max="30000" page="10" val="6"/>
</file>

<file path=xl/ctrlProps/ctrlProp2.xml><?xml version="1.0" encoding="utf-8"?>
<formControlPr xmlns="http://schemas.microsoft.com/office/spreadsheetml/2009/9/main" objectType="Spin" dx="22" fmlaLink="b_line!$B$2" max="30000" min="1" page="10" val="4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2.emf"/><Relationship Id="rId7" Type="http://schemas.openxmlformats.org/officeDocument/2006/relationships/image" Target="../media/image6.emf"/><Relationship Id="rId12" Type="http://schemas.openxmlformats.org/officeDocument/2006/relationships/image" Target="../media/image10.emf"/><Relationship Id="rId2" Type="http://schemas.openxmlformats.org/officeDocument/2006/relationships/image" Target="../media/image1.emf"/><Relationship Id="rId1" Type="http://schemas.openxmlformats.org/officeDocument/2006/relationships/chart" Target="../charts/chart2.xml"/><Relationship Id="rId6" Type="http://schemas.openxmlformats.org/officeDocument/2006/relationships/image" Target="../media/image5.emf"/><Relationship Id="rId11" Type="http://schemas.openxmlformats.org/officeDocument/2006/relationships/chart" Target="../charts/chart3.xml"/><Relationship Id="rId5" Type="http://schemas.openxmlformats.org/officeDocument/2006/relationships/image" Target="../media/image4.emf"/><Relationship Id="rId10" Type="http://schemas.openxmlformats.org/officeDocument/2006/relationships/image" Target="../media/image9.emf"/><Relationship Id="rId4" Type="http://schemas.openxmlformats.org/officeDocument/2006/relationships/image" Target="../media/image3.emf"/><Relationship Id="rId9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13.emf"/><Relationship Id="rId7" Type="http://schemas.openxmlformats.org/officeDocument/2006/relationships/image" Target="../media/image1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10" Type="http://schemas.openxmlformats.org/officeDocument/2006/relationships/image" Target="../media/image20.emf"/><Relationship Id="rId4" Type="http://schemas.openxmlformats.org/officeDocument/2006/relationships/image" Target="../media/image14.emf"/><Relationship Id="rId9" Type="http://schemas.openxmlformats.org/officeDocument/2006/relationships/image" Target="../media/image1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9.emf"/><Relationship Id="rId1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76200</xdr:rowOff>
    </xdr:from>
    <xdr:to>
      <xdr:col>28</xdr:col>
      <xdr:colOff>38099</xdr:colOff>
      <xdr:row>61</xdr:row>
      <xdr:rowOff>19050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333375</xdr:colOff>
          <xdr:row>12</xdr:row>
          <xdr:rowOff>152400</xdr:rowOff>
        </xdr:from>
        <xdr:to>
          <xdr:col>5</xdr:col>
          <xdr:colOff>390525</xdr:colOff>
          <xdr:row>15</xdr:row>
          <xdr:rowOff>0</xdr:rowOff>
        </xdr:to>
        <xdr:sp macro="" textlink="">
          <xdr:nvSpPr>
            <xdr:cNvPr id="9217" name="Spinne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68</xdr:row>
      <xdr:rowOff>86782</xdr:rowOff>
    </xdr:to>
    <xdr:grpSp>
      <xdr:nvGrpSpPr>
        <xdr:cNvPr id="2" name="그룹 1"/>
        <xdr:cNvGrpSpPr/>
      </xdr:nvGrpSpPr>
      <xdr:grpSpPr>
        <a:xfrm>
          <a:off x="0" y="0"/>
          <a:ext cx="12801600" cy="11145307"/>
          <a:chOff x="426461" y="184158"/>
          <a:chExt cx="10147410" cy="8142662"/>
        </a:xfrm>
      </xdr:grpSpPr>
      <xdr:graphicFrame macro="">
        <xdr:nvGraphicFramePr>
          <xdr:cNvPr id="4" name="차트 3"/>
          <xdr:cNvGraphicFramePr>
            <a:graphicFrameLocks/>
          </xdr:cNvGraphicFramePr>
        </xdr:nvGraphicFramePr>
        <xdr:xfrm>
          <a:off x="426461" y="184158"/>
          <a:ext cx="10147410" cy="77800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pic>
            <xdr:nvPicPr>
              <xdr:cNvPr id="14" name="그림 13"/>
              <xdr:cNvPicPr>
                <a:picLocks noChangeAspect="1" noChangeArrowheads="1"/>
                <a:extLst>
                  <a:ext uri="{84589F7E-364E-4C9E-8A38-B11213B215E9}">
                    <a14:cameraTool cellRange="b_stick!$Q$6" spid="_x0000_s191826"/>
                  </a:ext>
                </a:extLst>
              </xdr:cNvPicPr>
            </xdr:nvPicPr>
            <xdr:blipFill>
              <a:blip xmlns:r="http://schemas.openxmlformats.org/officeDocument/2006/relationships" r:embed="rId2"/>
              <a:srcRect/>
              <a:stretch>
                <a:fillRect/>
              </a:stretch>
            </xdr:blipFill>
            <xdr:spPr bwMode="auto">
              <a:xfrm>
                <a:off x="697979" y="7920320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15" name="그림 14"/>
              <xdr:cNvPicPr>
                <a:picLocks noChangeAspect="1" noChangeArrowheads="1"/>
                <a:extLst>
                  <a:ext uri="{84589F7E-364E-4C9E-8A38-B11213B215E9}">
                    <a14:cameraTool cellRange="b_stick!$Q$7" spid="_x0000_s191827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1723182" y="7907206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25" name="그림 24"/>
              <xdr:cNvPicPr>
                <a:picLocks noChangeAspect="1" noChangeArrowheads="1"/>
                <a:extLst>
                  <a:ext uri="{84589F7E-364E-4C9E-8A38-B11213B215E9}">
                    <a14:cameraTool cellRange="b_stick!$Q$8" spid="_x0000_s191828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2779369" y="7933437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26" name="그림 25"/>
              <xdr:cNvPicPr>
                <a:picLocks noChangeAspect="1" noChangeArrowheads="1"/>
                <a:extLst>
                  <a:ext uri="{84589F7E-364E-4C9E-8A38-B11213B215E9}">
                    <a14:cameraTool cellRange="b_stick!$Q$9" spid="_x0000_s191829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3779166" y="7933437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27" name="그림 26"/>
              <xdr:cNvPicPr>
                <a:picLocks noChangeAspect="1" noChangeArrowheads="1"/>
                <a:extLst>
                  <a:ext uri="{84589F7E-364E-4C9E-8A38-B11213B215E9}">
                    <a14:cameraTool cellRange="b_stick!$Q$10" spid="_x0000_s191830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4878587" y="7933437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28" name="그림 27"/>
              <xdr:cNvPicPr>
                <a:picLocks noChangeAspect="1" noChangeArrowheads="1"/>
                <a:extLst>
                  <a:ext uri="{84589F7E-364E-4C9E-8A38-B11213B215E9}">
                    <a14:cameraTool cellRange="b_stick!$Q$11" spid="_x0000_s191831"/>
                  </a:ext>
                </a:extLst>
              </xdr:cNvPicPr>
            </xdr:nvPicPr>
            <xdr:blipFill>
              <a:blip xmlns:r="http://schemas.openxmlformats.org/officeDocument/2006/relationships" r:embed="rId7"/>
              <a:srcRect/>
              <a:stretch>
                <a:fillRect/>
              </a:stretch>
            </xdr:blipFill>
            <xdr:spPr bwMode="auto">
              <a:xfrm>
                <a:off x="5890096" y="7933437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29" name="그림 28"/>
              <xdr:cNvPicPr>
                <a:picLocks noChangeAspect="1" noChangeArrowheads="1"/>
                <a:extLst>
                  <a:ext uri="{84589F7E-364E-4C9E-8A38-B11213B215E9}">
                    <a14:cameraTool cellRange="b_stick!$Q$12" spid="_x0000_s191832"/>
                  </a:ext>
                </a:extLst>
              </xdr:cNvPicPr>
            </xdr:nvPicPr>
            <xdr:blipFill>
              <a:blip xmlns:r="http://schemas.openxmlformats.org/officeDocument/2006/relationships" r:embed="rId8"/>
              <a:srcRect/>
              <a:stretch>
                <a:fillRect/>
              </a:stretch>
            </xdr:blipFill>
            <xdr:spPr bwMode="auto">
              <a:xfrm>
                <a:off x="6964870" y="7933437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30" name="그림 29"/>
              <xdr:cNvPicPr>
                <a:picLocks noChangeAspect="1" noChangeArrowheads="1"/>
                <a:extLst>
                  <a:ext uri="{84589F7E-364E-4C9E-8A38-B11213B215E9}">
                    <a14:cameraTool cellRange="b_stick!$Q$13" spid="_x0000_s191833"/>
                  </a:ext>
                </a:extLst>
              </xdr:cNvPicPr>
            </xdr:nvPicPr>
            <xdr:blipFill>
              <a:blip xmlns:r="http://schemas.openxmlformats.org/officeDocument/2006/relationships" r:embed="rId9"/>
              <a:srcRect/>
              <a:stretch>
                <a:fillRect/>
              </a:stretch>
            </xdr:blipFill>
            <xdr:spPr bwMode="auto">
              <a:xfrm>
                <a:off x="7974121" y="7933449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31" name="그림 30"/>
              <xdr:cNvPicPr>
                <a:picLocks noChangeAspect="1" noChangeArrowheads="1"/>
                <a:extLst>
                  <a:ext uri="{84589F7E-364E-4C9E-8A38-B11213B215E9}">
                    <a14:cameraTool cellRange="b_stick!$Q$14" spid="_x0000_s191834"/>
                  </a:ext>
                </a:extLst>
              </xdr:cNvPicPr>
            </xdr:nvPicPr>
            <xdr:blipFill>
              <a:blip xmlns:r="http://schemas.openxmlformats.org/officeDocument/2006/relationships" r:embed="rId10"/>
              <a:srcRect/>
              <a:stretch>
                <a:fillRect/>
              </a:stretch>
            </xdr:blipFill>
            <xdr:spPr bwMode="auto">
              <a:xfrm>
                <a:off x="9109942" y="7933442"/>
                <a:ext cx="920097" cy="393371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</xdr:pic>
        </mc:Choice>
        <mc:Fallback xmlns=""/>
      </mc:AlternateContent>
    </xdr:grpSp>
    <xdr:clientData/>
  </xdr:twoCellAnchor>
  <xdr:twoCellAnchor>
    <xdr:from>
      <xdr:col>0</xdr:col>
      <xdr:colOff>61737</xdr:colOff>
      <xdr:row>68</xdr:row>
      <xdr:rowOff>98052</xdr:rowOff>
    </xdr:from>
    <xdr:to>
      <xdr:col>20</xdr:col>
      <xdr:colOff>356527</xdr:colOff>
      <xdr:row>120</xdr:row>
      <xdr:rowOff>123825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212156</xdr:colOff>
      <xdr:row>94</xdr:row>
      <xdr:rowOff>107896</xdr:rowOff>
    </xdr:from>
    <xdr:to>
      <xdr:col>21</xdr:col>
      <xdr:colOff>42853</xdr:colOff>
      <xdr:row>113</xdr:row>
      <xdr:rowOff>6802</xdr:rowOff>
    </xdr:to>
    <xdr:sp macro="" textlink="">
      <xdr:nvSpPr>
        <xdr:cNvPr id="5" name="타원 4"/>
        <xdr:cNvSpPr/>
      </xdr:nvSpPr>
      <xdr:spPr>
        <a:xfrm rot="357407">
          <a:off x="212156" y="15376471"/>
          <a:ext cx="12632297" cy="2975481"/>
        </a:xfrm>
        <a:prstGeom prst="ellipse">
          <a:avLst/>
        </a:prstGeom>
        <a:noFill/>
        <a:ln w="19050">
          <a:solidFill>
            <a:schemeClr val="tx2">
              <a:lumMod val="40000"/>
              <a:lumOff val="6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447675</xdr:colOff>
          <xdr:row>1</xdr:row>
          <xdr:rowOff>123825</xdr:rowOff>
        </xdr:from>
        <xdr:to>
          <xdr:col>25</xdr:col>
          <xdr:colOff>508631</xdr:colOff>
          <xdr:row>5</xdr:row>
          <xdr:rowOff>25140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b_stick!$X$3" spid="_x0000_s191835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3249275" y="1847850"/>
              <a:ext cx="2499356" cy="5966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38100</xdr:colOff>
          <xdr:row>4</xdr:row>
          <xdr:rowOff>123825</xdr:rowOff>
        </xdr:from>
        <xdr:to>
          <xdr:col>24</xdr:col>
          <xdr:colOff>228600</xdr:colOff>
          <xdr:row>8</xdr:row>
          <xdr:rowOff>57150</xdr:rowOff>
        </xdr:to>
        <xdr:sp macro="" textlink="">
          <xdr:nvSpPr>
            <xdr:cNvPr id="35606" name="Spinner 4886" hidden="1">
              <a:extLst>
                <a:ext uri="{63B3BB69-23CF-44E3-9099-C40C66FF867C}">
                  <a14:compatExt spid="_x0000_s35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39220</xdr:colOff>
      <xdr:row>92</xdr:row>
      <xdr:rowOff>96370</xdr:rowOff>
    </xdr:from>
    <xdr:to>
      <xdr:col>26</xdr:col>
      <xdr:colOff>235323</xdr:colOff>
      <xdr:row>107</xdr:row>
      <xdr:rowOff>78441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19049</xdr:rowOff>
        </xdr:from>
        <xdr:to>
          <xdr:col>10</xdr:col>
          <xdr:colOff>8350</xdr:colOff>
          <xdr:row>112</xdr:row>
          <xdr:rowOff>285750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graph!$A$70:$U$122" spid="_x0000_s1133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00" y="24752299"/>
              <a:ext cx="9193625" cy="866457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38101</xdr:colOff>
          <xdr:row>69</xdr:row>
          <xdr:rowOff>0</xdr:rowOff>
        </xdr:from>
        <xdr:to>
          <xdr:col>9</xdr:col>
          <xdr:colOff>942976</xdr:colOff>
          <xdr:row>87</xdr:row>
          <xdr:rowOff>333375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graph!$A$1:$U$68" spid="_x0000_s11335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101" y="16278225"/>
              <a:ext cx="9105900" cy="70199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554830</xdr:colOff>
      <xdr:row>2</xdr:row>
      <xdr:rowOff>857185</xdr:rowOff>
    </xdr:from>
    <xdr:to>
      <xdr:col>3</xdr:col>
      <xdr:colOff>416434</xdr:colOff>
      <xdr:row>7</xdr:row>
      <xdr:rowOff>540138</xdr:rowOff>
    </xdr:to>
    <xdr:grpSp>
      <xdr:nvGrpSpPr>
        <xdr:cNvPr id="12" name="그룹 11"/>
        <xdr:cNvGrpSpPr/>
      </xdr:nvGrpSpPr>
      <xdr:grpSpPr>
        <a:xfrm>
          <a:off x="554830" y="2390710"/>
          <a:ext cx="1984318" cy="3047999"/>
          <a:chOff x="541257" y="2898401"/>
          <a:chExt cx="1979381" cy="3296815"/>
        </a:xfrm>
      </xdr:grpSpPr>
      <xdr:sp macro="" textlink="">
        <xdr:nvSpPr>
          <xdr:cNvPr id="2" name="모서리가 둥근 직사각형 1"/>
          <xdr:cNvSpPr/>
        </xdr:nvSpPr>
        <xdr:spPr>
          <a:xfrm>
            <a:off x="650156" y="2936501"/>
            <a:ext cx="1734437" cy="70373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 b="1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당일 관람객</a:t>
            </a:r>
          </a:p>
        </xdr:txBody>
      </xdr:sp>
      <xdr:sp macro="" textlink="일자별요약v2!D5">
        <xdr:nvSpPr>
          <xdr:cNvPr id="5" name="모서리가 둥근 직사각형 4"/>
          <xdr:cNvSpPr/>
        </xdr:nvSpPr>
        <xdr:spPr>
          <a:xfrm>
            <a:off x="650156" y="3435860"/>
            <a:ext cx="1734437" cy="637053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F295F45-FA45-4FD5-931B-DF888DC55282}" type="TxLink">
              <a:rPr lang="en-US" altLang="en-US" sz="2800" b="1" i="0" u="none" strike="noStrike" spc="-11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</a:rPr>
              <a:pPr algn="ctr"/>
              <a:t>143명</a:t>
            </a:fld>
            <a:endParaRPr lang="ko-KR" altLang="en-US" sz="2400" b="1" spc="-11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</a:endParaRPr>
          </a:p>
        </xdr:txBody>
      </xdr:sp>
      <xdr:cxnSp macro="">
        <xdr:nvCxnSpPr>
          <xdr:cNvPr id="7" name="직선 연결선 6"/>
          <xdr:cNvCxnSpPr/>
        </xdr:nvCxnSpPr>
        <xdr:spPr>
          <a:xfrm>
            <a:off x="595551" y="2898401"/>
            <a:ext cx="1925087" cy="0"/>
          </a:xfrm>
          <a:prstGeom prst="line">
            <a:avLst/>
          </a:prstGeom>
          <a:ln w="571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/>
          <xdr:cNvCxnSpPr/>
        </xdr:nvCxnSpPr>
        <xdr:spPr>
          <a:xfrm>
            <a:off x="541257" y="6195216"/>
            <a:ext cx="1925087" cy="0"/>
          </a:xfrm>
          <a:prstGeom prst="line">
            <a:avLst/>
          </a:prstGeom>
          <a:ln w="571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일자별요약v2!N27">
        <xdr:nvSpPr>
          <xdr:cNvPr id="16" name="모서리가 둥근 직사각형 15"/>
          <xdr:cNvSpPr/>
        </xdr:nvSpPr>
        <xdr:spPr>
          <a:xfrm>
            <a:off x="650156" y="3872427"/>
            <a:ext cx="1734437" cy="63705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0EF5D57-B3A6-459E-9BB2-C6B6312C230B}" type="TxLink">
              <a:rPr lang="en-US" altLang="en-US" sz="20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rPr>
              <a:pPr marL="0" indent="0" algn="ctr"/>
              <a:t>전일대비▼159</a:t>
            </a:fld>
            <a:endParaRPr lang="ko-KR" altLang="en-US" sz="20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endParaRPr>
          </a:p>
        </xdr:txBody>
      </xdr:sp>
      <xdr:sp macro="" textlink="$Z$14">
        <xdr:nvSpPr>
          <xdr:cNvPr id="87" name="모서리가 둥근 직사각형 86"/>
          <xdr:cNvSpPr/>
        </xdr:nvSpPr>
        <xdr:spPr>
          <a:xfrm>
            <a:off x="595864" y="4990832"/>
            <a:ext cx="1734437" cy="637053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7184A310-488B-40EF-AFAA-2E6D8506BA04}" type="TxLink">
              <a:rPr lang="en-US" altLang="en-US" sz="2800" b="1" i="0" u="none" strike="noStrike" spc="-11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pPr marL="0" indent="0" algn="ctr"/>
              <a:t>208명</a:t>
            </a:fld>
            <a:endParaRPr lang="ko-KR" altLang="en-US" sz="2800" b="1" i="0" u="none" strike="noStrike" spc="-11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  <a:cs typeface="+mn-cs"/>
            </a:endParaRPr>
          </a:p>
        </xdr:txBody>
      </xdr:sp>
      <xdr:sp macro="" textlink="">
        <xdr:nvSpPr>
          <xdr:cNvPr id="88" name="모서리가 둥근 직사각형 87"/>
          <xdr:cNvSpPr/>
        </xdr:nvSpPr>
        <xdr:spPr>
          <a:xfrm>
            <a:off x="636583" y="4491474"/>
            <a:ext cx="1734437" cy="70373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 b="1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일평균 관람객</a:t>
            </a:r>
          </a:p>
        </xdr:txBody>
      </xdr:sp>
      <xdr:sp macro="" textlink="$Z$16">
        <xdr:nvSpPr>
          <xdr:cNvPr id="89" name="모서리가 둥근 직사각형 88"/>
          <xdr:cNvSpPr/>
        </xdr:nvSpPr>
        <xdr:spPr>
          <a:xfrm>
            <a:off x="595863" y="5427400"/>
            <a:ext cx="1734437" cy="63705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F44D1607-F07D-4E5B-B7F8-38461F7456EF}" type="TxLink">
              <a:rPr lang="en-US" altLang="en-US" sz="20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rPr>
              <a:pPr marL="0" indent="0" algn="ctr"/>
              <a:t>전일대비 ▼ 2</a:t>
            </a:fld>
            <a:endParaRPr lang="ko-KR" altLang="en-US" sz="20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endParaRPr>
          </a:p>
        </xdr:txBody>
      </xdr:sp>
      <xdr:cxnSp macro="">
        <xdr:nvCxnSpPr>
          <xdr:cNvPr id="90" name="직선 연결선 89"/>
          <xdr:cNvCxnSpPr/>
        </xdr:nvCxnSpPr>
        <xdr:spPr>
          <a:xfrm>
            <a:off x="1111336" y="4521575"/>
            <a:ext cx="825940" cy="0"/>
          </a:xfrm>
          <a:prstGeom prst="line">
            <a:avLst/>
          </a:prstGeom>
          <a:ln w="12700"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86592</xdr:colOff>
      <xdr:row>2</xdr:row>
      <xdr:rowOff>662625</xdr:rowOff>
    </xdr:from>
    <xdr:to>
      <xdr:col>11</xdr:col>
      <xdr:colOff>373870</xdr:colOff>
      <xdr:row>7</xdr:row>
      <xdr:rowOff>472125</xdr:rowOff>
    </xdr:to>
    <xdr:grpSp>
      <xdr:nvGrpSpPr>
        <xdr:cNvPr id="4" name="그룹 3"/>
        <xdr:cNvGrpSpPr/>
      </xdr:nvGrpSpPr>
      <xdr:grpSpPr>
        <a:xfrm>
          <a:off x="2916878" y="2377125"/>
          <a:ext cx="5240278" cy="2993571"/>
          <a:chOff x="2922815" y="2305050"/>
          <a:chExt cx="5350328" cy="3272518"/>
        </a:xfrm>
      </xdr:grpSpPr>
      <xdr:cxnSp macro="">
        <xdr:nvCxnSpPr>
          <xdr:cNvPr id="14" name="직선 연결선 13"/>
          <xdr:cNvCxnSpPr/>
        </xdr:nvCxnSpPr>
        <xdr:spPr>
          <a:xfrm>
            <a:off x="3335995" y="3092904"/>
            <a:ext cx="189467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모서리가 둥근 직사각형 17"/>
          <xdr:cNvSpPr/>
        </xdr:nvSpPr>
        <xdr:spPr>
          <a:xfrm>
            <a:off x="3449411" y="3131004"/>
            <a:ext cx="1653514" cy="70212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 b="1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타전시 대비</a:t>
            </a:r>
          </a:p>
        </xdr:txBody>
      </xdr:sp>
      <xdr:sp macro="" textlink="일자별요약v2!N39">
        <xdr:nvSpPr>
          <xdr:cNvPr id="19" name="모서리가 둥근 직사각형 18"/>
          <xdr:cNvSpPr/>
        </xdr:nvSpPr>
        <xdr:spPr>
          <a:xfrm>
            <a:off x="3449411" y="3737882"/>
            <a:ext cx="1653514" cy="635453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A6D9D8AD-1AA6-4DAD-A5C4-4E582C937FD1}" type="TxLink">
              <a:rPr lang="en-US" altLang="en-US" sz="2800" b="0" i="0" u="none" strike="noStrike" spc="-11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pPr marL="0" indent="0" algn="ctr"/>
              <a:t>▼ 240명</a:t>
            </a:fld>
            <a:endParaRPr lang="ko-KR" altLang="en-US" sz="2800" b="0" i="0" u="none" strike="noStrike" spc="-11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  <a:cs typeface="+mn-cs"/>
            </a:endParaRPr>
          </a:p>
        </xdr:txBody>
      </xdr:sp>
      <xdr:cxnSp macro="">
        <xdr:nvCxnSpPr>
          <xdr:cNvPr id="20" name="직선 연결선 19"/>
          <xdr:cNvCxnSpPr/>
        </xdr:nvCxnSpPr>
        <xdr:spPr>
          <a:xfrm>
            <a:off x="3335995" y="5075464"/>
            <a:ext cx="189467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일자별요약v2!N38">
        <xdr:nvSpPr>
          <xdr:cNvPr id="21" name="모서리가 둥근 직사각형 20"/>
          <xdr:cNvSpPr/>
        </xdr:nvSpPr>
        <xdr:spPr>
          <a:xfrm>
            <a:off x="3240868" y="4363811"/>
            <a:ext cx="2070600" cy="63545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ADE7AEDA-3FDB-4138-AE4E-03DDB508155C}" type="TxLink">
              <a:rPr lang="ko-KR" altLang="en-US" sz="20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rPr>
              <a:pPr marL="0" indent="0" algn="ctr"/>
              <a:t>타전시평균 383명</a:t>
            </a:fld>
            <a:endParaRPr lang="ko-KR" altLang="en-US" sz="20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endParaRPr>
          </a:p>
        </xdr:txBody>
      </xdr:sp>
      <xdr:sp macro="" textlink="일자별요약v2!N9">
        <xdr:nvSpPr>
          <xdr:cNvPr id="22" name="모서리가 둥근 직사각형 21"/>
          <xdr:cNvSpPr/>
        </xdr:nvSpPr>
        <xdr:spPr>
          <a:xfrm>
            <a:off x="4577443" y="2362200"/>
            <a:ext cx="2050595" cy="61912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454C212-1CFC-431D-98F9-5B1D2A6D2117}" type="TxLink">
              <a:rPr lang="ko-KR" altLang="en-US" sz="16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45일차기준</a:t>
            </a:fld>
            <a:endParaRPr lang="ko-KR" altLang="en-US" sz="2400" b="1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cxnSp macro="">
        <xdr:nvCxnSpPr>
          <xdr:cNvPr id="23" name="직선 연결선 22"/>
          <xdr:cNvCxnSpPr/>
        </xdr:nvCxnSpPr>
        <xdr:spPr>
          <a:xfrm>
            <a:off x="5796166" y="3111954"/>
            <a:ext cx="189467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모서리가 둥근 직사각형 23"/>
          <xdr:cNvSpPr/>
        </xdr:nvSpPr>
        <xdr:spPr>
          <a:xfrm>
            <a:off x="5909582" y="3092904"/>
            <a:ext cx="1724272" cy="70212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 b="1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국내전시 대비</a:t>
            </a:r>
          </a:p>
        </xdr:txBody>
      </xdr:sp>
      <xdr:sp macro="" textlink="일자별요약v2!N41">
        <xdr:nvSpPr>
          <xdr:cNvPr id="25" name="모서리가 둥근 직사각형 24"/>
          <xdr:cNvSpPr/>
        </xdr:nvSpPr>
        <xdr:spPr>
          <a:xfrm>
            <a:off x="5909582" y="3756932"/>
            <a:ext cx="1724272" cy="635453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9955B1C0-DEBF-4ACF-914F-810CF0A2F2C4}" type="TxLink">
              <a:rPr lang="en-US" altLang="en-US" sz="2800" b="0" i="0" u="none" strike="noStrike" spc="-11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pPr marL="0" indent="0" algn="ctr"/>
              <a:t>▼ 169명</a:t>
            </a:fld>
            <a:endParaRPr lang="ko-KR" altLang="en-US" sz="2800" b="0" i="0" u="none" strike="noStrike" spc="-11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  <a:cs typeface="+mn-cs"/>
            </a:endParaRPr>
          </a:p>
        </xdr:txBody>
      </xdr:sp>
      <xdr:cxnSp macro="">
        <xdr:nvCxnSpPr>
          <xdr:cNvPr id="26" name="직선 연결선 25"/>
          <xdr:cNvCxnSpPr/>
        </xdr:nvCxnSpPr>
        <xdr:spPr>
          <a:xfrm>
            <a:off x="5796166" y="5094514"/>
            <a:ext cx="189467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일자별요약v2!N40">
        <xdr:nvSpPr>
          <xdr:cNvPr id="27" name="모서리가 둥근 직사각형 26"/>
          <xdr:cNvSpPr/>
        </xdr:nvSpPr>
        <xdr:spPr>
          <a:xfrm>
            <a:off x="5692115" y="4382861"/>
            <a:ext cx="2159206" cy="63545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6D4B57F4-8B13-4F56-9802-2A2BC5BB70F1}" type="TxLink">
              <a:rPr lang="ko-KR" altLang="en-US" sz="20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rPr>
              <a:pPr marL="0" indent="0" algn="ctr"/>
              <a:t>국내평균 312명</a:t>
            </a:fld>
            <a:endParaRPr lang="ko-KR" altLang="en-US" sz="20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endParaRPr>
          </a:p>
        </xdr:txBody>
      </xdr:sp>
      <xdr:sp macro="" textlink="">
        <xdr:nvSpPr>
          <xdr:cNvPr id="28" name="모서리가 둥근 직사각형 27"/>
          <xdr:cNvSpPr/>
        </xdr:nvSpPr>
        <xdr:spPr>
          <a:xfrm>
            <a:off x="2922815" y="2305050"/>
            <a:ext cx="5350328" cy="3272518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9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</xdr:grpSp>
    <xdr:clientData/>
  </xdr:twoCellAnchor>
  <xdr:twoCellAnchor>
    <xdr:from>
      <xdr:col>8</xdr:col>
      <xdr:colOff>699606</xdr:colOff>
      <xdr:row>16</xdr:row>
      <xdr:rowOff>418900</xdr:rowOff>
    </xdr:from>
    <xdr:to>
      <xdr:col>14</xdr:col>
      <xdr:colOff>13290</xdr:colOff>
      <xdr:row>17</xdr:row>
      <xdr:rowOff>1370228</xdr:rowOff>
    </xdr:to>
    <xdr:grpSp>
      <xdr:nvGrpSpPr>
        <xdr:cNvPr id="30" name="그룹 29"/>
        <xdr:cNvGrpSpPr/>
      </xdr:nvGrpSpPr>
      <xdr:grpSpPr>
        <a:xfrm>
          <a:off x="6360177" y="12053007"/>
          <a:ext cx="3559113" cy="1495614"/>
          <a:chOff x="2911866" y="10238963"/>
          <a:chExt cx="2808676" cy="1169504"/>
        </a:xfrm>
      </xdr:grpSpPr>
      <xdr:sp macro="" textlink="">
        <xdr:nvSpPr>
          <xdr:cNvPr id="37" name="모서리가 둥근 직사각형 36"/>
          <xdr:cNvSpPr/>
        </xdr:nvSpPr>
        <xdr:spPr>
          <a:xfrm>
            <a:off x="2911866" y="10238963"/>
            <a:ext cx="2808676" cy="116950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 spc="-10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</a:rPr>
              <a:t>해당일차 누적 타전시 추세 비교 </a:t>
            </a:r>
          </a:p>
        </xdr:txBody>
      </xdr:sp>
      <xdr:cxnSp macro="">
        <xdr:nvCxnSpPr>
          <xdr:cNvPr id="38" name="직선 연결선 37"/>
          <xdr:cNvCxnSpPr/>
        </xdr:nvCxnSpPr>
        <xdr:spPr>
          <a:xfrm flipV="1">
            <a:off x="3103115" y="10480743"/>
            <a:ext cx="2468320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 flipV="1">
            <a:off x="3100365" y="11192333"/>
            <a:ext cx="2520000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703681</xdr:colOff>
      <xdr:row>2</xdr:row>
      <xdr:rowOff>661534</xdr:rowOff>
    </xdr:from>
    <xdr:to>
      <xdr:col>19</xdr:col>
      <xdr:colOff>125581</xdr:colOff>
      <xdr:row>7</xdr:row>
      <xdr:rowOff>471034</xdr:rowOff>
    </xdr:to>
    <xdr:grpSp>
      <xdr:nvGrpSpPr>
        <xdr:cNvPr id="41" name="그룹 40"/>
        <xdr:cNvGrpSpPr/>
      </xdr:nvGrpSpPr>
      <xdr:grpSpPr>
        <a:xfrm>
          <a:off x="8486967" y="2376034"/>
          <a:ext cx="5082471" cy="2993571"/>
          <a:chOff x="3178629" y="2305050"/>
          <a:chExt cx="4838700" cy="3272518"/>
        </a:xfrm>
      </xdr:grpSpPr>
      <xdr:cxnSp macro="">
        <xdr:nvCxnSpPr>
          <xdr:cNvPr id="42" name="직선 연결선 41"/>
          <xdr:cNvCxnSpPr/>
        </xdr:nvCxnSpPr>
        <xdr:spPr>
          <a:xfrm>
            <a:off x="3517405" y="3081745"/>
            <a:ext cx="162268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모서리가 둥근 직사각형 42"/>
          <xdr:cNvSpPr/>
        </xdr:nvSpPr>
        <xdr:spPr>
          <a:xfrm>
            <a:off x="3449411" y="3131004"/>
            <a:ext cx="1653514" cy="70212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 b="1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타전시 대비</a:t>
            </a:r>
          </a:p>
        </xdr:txBody>
      </xdr:sp>
      <xdr:sp macro="" textlink="일자별요약v2!P39">
        <xdr:nvSpPr>
          <xdr:cNvPr id="45" name="모서리가 둥근 직사각형 44"/>
          <xdr:cNvSpPr/>
        </xdr:nvSpPr>
        <xdr:spPr>
          <a:xfrm>
            <a:off x="3449411" y="3737882"/>
            <a:ext cx="1653514" cy="635453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B2E98A8-3B64-440C-8FAD-3E43AD17603D}" type="TxLink">
              <a:rPr lang="en-US" altLang="en-US" sz="2800" b="0" i="0" u="none" strike="noStrike" spc="-11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pPr marL="0" indent="0" algn="ctr"/>
              <a:t>▼ 316명</a:t>
            </a:fld>
            <a:endParaRPr lang="ko-KR" altLang="en-US" sz="2800" b="0" i="0" u="none" strike="noStrike" spc="-11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  <a:cs typeface="+mn-cs"/>
            </a:endParaRPr>
          </a:p>
        </xdr:txBody>
      </xdr:sp>
      <xdr:cxnSp macro="">
        <xdr:nvCxnSpPr>
          <xdr:cNvPr id="46" name="직선 연결선 45"/>
          <xdr:cNvCxnSpPr/>
        </xdr:nvCxnSpPr>
        <xdr:spPr>
          <a:xfrm>
            <a:off x="3517405" y="5064304"/>
            <a:ext cx="162268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일자별요약v2!P38">
        <xdr:nvSpPr>
          <xdr:cNvPr id="47" name="모서리가 둥근 직사각형 46"/>
          <xdr:cNvSpPr/>
        </xdr:nvSpPr>
        <xdr:spPr>
          <a:xfrm>
            <a:off x="3249387" y="4363811"/>
            <a:ext cx="2053561" cy="63545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08AF54B7-A426-4D8C-97EC-CF0347295856}" type="TxLink">
              <a:rPr lang="en-US" altLang="en-US" sz="20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rPr>
              <a:pPr marL="0" indent="0" algn="ctr"/>
              <a:t>타전시평균 459명</a:t>
            </a:fld>
            <a:endParaRPr lang="ko-KR" altLang="en-US" sz="20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endParaRPr>
          </a:p>
        </xdr:txBody>
      </xdr:sp>
      <xdr:sp macro="" textlink="일자별요약v2!P25">
        <xdr:nvSpPr>
          <xdr:cNvPr id="48" name="모서리가 둥근 직사각형 47"/>
          <xdr:cNvSpPr/>
        </xdr:nvSpPr>
        <xdr:spPr>
          <a:xfrm>
            <a:off x="4055727" y="2362200"/>
            <a:ext cx="3094029" cy="61912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1DE635F-4F00-421B-BFD5-67B4CBB0C9C3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24-04-01 (직전1주일  동일요일  기준)</a:t>
            </a:fld>
            <a:endParaRPr lang="ko-KR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cxnSp macro="">
        <xdr:nvCxnSpPr>
          <xdr:cNvPr id="49" name="직선 연결선 48"/>
          <xdr:cNvCxnSpPr/>
        </xdr:nvCxnSpPr>
        <xdr:spPr>
          <a:xfrm>
            <a:off x="5977577" y="3100794"/>
            <a:ext cx="162268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모서리가 둥근 직사각형 49"/>
          <xdr:cNvSpPr/>
        </xdr:nvSpPr>
        <xdr:spPr>
          <a:xfrm>
            <a:off x="5909582" y="3092904"/>
            <a:ext cx="1724272" cy="70212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 b="1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국내전시 대비</a:t>
            </a:r>
          </a:p>
        </xdr:txBody>
      </xdr:sp>
      <xdr:sp macro="" textlink="일자별요약v2!P41">
        <xdr:nvSpPr>
          <xdr:cNvPr id="51" name="모서리가 둥근 직사각형 50"/>
          <xdr:cNvSpPr/>
        </xdr:nvSpPr>
        <xdr:spPr>
          <a:xfrm>
            <a:off x="5909582" y="3756932"/>
            <a:ext cx="1724272" cy="635453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D8996FF2-51D6-4A21-9584-4D0EE7B0E43E}" type="TxLink">
              <a:rPr lang="en-US" altLang="en-US" sz="2800" b="0" i="0" u="none" strike="noStrike" spc="-11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  <a:cs typeface="+mn-cs"/>
              </a:rPr>
              <a:pPr marL="0" indent="0" algn="ctr"/>
              <a:t>▼ 155명</a:t>
            </a:fld>
            <a:endParaRPr lang="ko-KR" altLang="en-US" sz="2800" b="0" i="0" u="none" strike="noStrike" spc="-11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  <a:cs typeface="+mn-cs"/>
            </a:endParaRPr>
          </a:p>
        </xdr:txBody>
      </xdr:sp>
      <xdr:cxnSp macro="">
        <xdr:nvCxnSpPr>
          <xdr:cNvPr id="52" name="직선 연결선 51"/>
          <xdr:cNvCxnSpPr/>
        </xdr:nvCxnSpPr>
        <xdr:spPr>
          <a:xfrm>
            <a:off x="5977577" y="5083354"/>
            <a:ext cx="1622686" cy="0"/>
          </a:xfrm>
          <a:prstGeom prst="line">
            <a:avLst/>
          </a:prstGeom>
          <a:ln w="28575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일자별요약v2!P40">
        <xdr:nvSpPr>
          <xdr:cNvPr id="53" name="모서리가 둥근 직사각형 52"/>
          <xdr:cNvSpPr/>
        </xdr:nvSpPr>
        <xdr:spPr>
          <a:xfrm>
            <a:off x="5700999" y="4382861"/>
            <a:ext cx="2141438" cy="63545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5B715E8E-CC68-4829-B0E6-7714C8E3333C}" type="TxLink">
              <a:rPr lang="en-US" altLang="en-US" sz="2000" b="0" i="0" u="none" strike="noStrike" spc="-11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  <a:cs typeface="+mn-cs"/>
              </a:rPr>
              <a:pPr marL="0" indent="0" algn="ctr"/>
              <a:t>국내평균 298명</a:t>
            </a:fld>
            <a:endParaRPr lang="ko-KR" altLang="en-US" sz="20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  <a:cs typeface="+mn-cs"/>
            </a:endParaRPr>
          </a:p>
        </xdr:txBody>
      </xdr:sp>
      <xdr:sp macro="" textlink="">
        <xdr:nvSpPr>
          <xdr:cNvPr id="54" name="모서리가 둥근 직사각형 53"/>
          <xdr:cNvSpPr/>
        </xdr:nvSpPr>
        <xdr:spPr>
          <a:xfrm>
            <a:off x="3178629" y="2305050"/>
            <a:ext cx="4838700" cy="3272518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900" b="0" i="0" u="none" strike="noStrike" spc="-11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</xdr:grpSp>
    <xdr:clientData/>
  </xdr:twoCellAnchor>
  <xdr:twoCellAnchor>
    <xdr:from>
      <xdr:col>8</xdr:col>
      <xdr:colOff>564586</xdr:colOff>
      <xdr:row>0</xdr:row>
      <xdr:rowOff>1225591</xdr:rowOff>
    </xdr:from>
    <xdr:to>
      <xdr:col>14</xdr:col>
      <xdr:colOff>141675</xdr:colOff>
      <xdr:row>0</xdr:row>
      <xdr:rowOff>1225591</xdr:rowOff>
    </xdr:to>
    <xdr:cxnSp macro="">
      <xdr:nvCxnSpPr>
        <xdr:cNvPr id="10" name="직선 연결선 9"/>
        <xdr:cNvCxnSpPr/>
      </xdr:nvCxnSpPr>
      <xdr:spPr>
        <a:xfrm flipV="1">
          <a:off x="6244950" y="1225591"/>
          <a:ext cx="3837361" cy="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507546</xdr:colOff>
      <xdr:row>31</xdr:row>
      <xdr:rowOff>95250</xdr:rowOff>
    </xdr:from>
    <xdr:to>
      <xdr:col>22</xdr:col>
      <xdr:colOff>335571</xdr:colOff>
      <xdr:row>31</xdr:row>
      <xdr:rowOff>613122</xdr:rowOff>
    </xdr:to>
    <xdr:grpSp>
      <xdr:nvGrpSpPr>
        <xdr:cNvPr id="31" name="그룹 30"/>
        <xdr:cNvGrpSpPr/>
      </xdr:nvGrpSpPr>
      <xdr:grpSpPr>
        <a:xfrm>
          <a:off x="1922689" y="25431750"/>
          <a:ext cx="13979453" cy="517872"/>
          <a:chOff x="1881867" y="24560893"/>
          <a:chExt cx="13979453" cy="517872"/>
        </a:xfrm>
      </xdr:grpSpPr>
      <xdr:sp macro="" textlink="요약!D1">
        <xdr:nvSpPr>
          <xdr:cNvPr id="71" name="모서리가 둥근 직사각형 70"/>
          <xdr:cNvSpPr/>
        </xdr:nvSpPr>
        <xdr:spPr>
          <a:xfrm>
            <a:off x="1881867" y="24560893"/>
            <a:ext cx="1214593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D499073-6539-428C-A7D9-D9E4C60E4E6B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40,701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E1">
        <xdr:nvSpPr>
          <xdr:cNvPr id="72" name="모서리가 둥근 직사각형 71"/>
          <xdr:cNvSpPr/>
        </xdr:nvSpPr>
        <xdr:spPr>
          <a:xfrm>
            <a:off x="3661681" y="24560893"/>
            <a:ext cx="1183297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8B98F1E-A053-4A28-A963-94FC03DC91E0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6,321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F1">
        <xdr:nvSpPr>
          <xdr:cNvPr id="80" name="모서리가 둥근 직사각형 79"/>
          <xdr:cNvSpPr/>
        </xdr:nvSpPr>
        <xdr:spPr>
          <a:xfrm>
            <a:off x="5048249" y="24560893"/>
            <a:ext cx="1183296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A1B2930-826C-4F40-85B8-1AC6777846A8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7,124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G1">
        <xdr:nvSpPr>
          <xdr:cNvPr id="81" name="모서리가 둥근 직사각형 80"/>
          <xdr:cNvSpPr/>
        </xdr:nvSpPr>
        <xdr:spPr>
          <a:xfrm>
            <a:off x="6520542" y="24560893"/>
            <a:ext cx="1183296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85C70B6-53FF-46DC-86FA-ACF9BAB9422D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13,376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H1">
        <xdr:nvSpPr>
          <xdr:cNvPr id="82" name="모서리가 둥근 직사각형 81"/>
          <xdr:cNvSpPr/>
        </xdr:nvSpPr>
        <xdr:spPr>
          <a:xfrm>
            <a:off x="7869010" y="24560893"/>
            <a:ext cx="1183296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FB21E51-A08E-48B1-B379-BDF0453C8EC3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11,852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I1">
        <xdr:nvSpPr>
          <xdr:cNvPr id="83" name="모서리가 둥근 직사각형 82"/>
          <xdr:cNvSpPr/>
        </xdr:nvSpPr>
        <xdr:spPr>
          <a:xfrm>
            <a:off x="9563100" y="24574500"/>
            <a:ext cx="1347942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A7B9599-D6BF-4DC0-B56D-2CCB17A79C09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25,627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J1">
        <xdr:nvSpPr>
          <xdr:cNvPr id="84" name="모서리가 둥근 직사각형 83"/>
          <xdr:cNvSpPr/>
        </xdr:nvSpPr>
        <xdr:spPr>
          <a:xfrm>
            <a:off x="11397342" y="24560893"/>
            <a:ext cx="1249971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A026453-BA4F-4678-9635-D61D00906F62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5,757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K1">
        <xdr:nvSpPr>
          <xdr:cNvPr id="85" name="모서리가 둥근 직사각형 84"/>
          <xdr:cNvSpPr/>
        </xdr:nvSpPr>
        <xdr:spPr>
          <a:xfrm>
            <a:off x="12802960" y="24560893"/>
            <a:ext cx="1249971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03A228F-E1E6-4189-9CBE-FDA0C29F19E8}" type="TxLink">
              <a:rPr lang="en-US" altLang="en-US" sz="1600" b="0" i="0" u="none" strike="noStrike" spc="-120" baseline="0">
                <a:solidFill>
                  <a:schemeClr val="bg1"/>
                </a:solidFill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pPr algn="ctr"/>
              <a:t>10,016</a:t>
            </a:fld>
            <a:endParaRPr lang="en-US" altLang="en-US" sz="1600" b="0" i="0" u="none" strike="noStrike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  <xdr:sp macro="" textlink="요약!L1">
        <xdr:nvSpPr>
          <xdr:cNvPr id="86" name="모서리가 둥근 직사각형 85"/>
          <xdr:cNvSpPr/>
        </xdr:nvSpPr>
        <xdr:spPr>
          <a:xfrm>
            <a:off x="14513378" y="24560893"/>
            <a:ext cx="1347942" cy="50426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C1AD93C-1EB7-400D-8E51-211367A68338}" type="TxLink">
              <a:rPr lang="en-US" altLang="en-US" sz="1800" b="1" i="0" u="none" strike="noStrike" spc="-120" baseline="0">
                <a:solidFill>
                  <a:schemeClr val="bg1"/>
                </a:solidFill>
                <a:latin typeface="나눔바른고딕OTF" panose="02020603020101020101" pitchFamily="18" charset="-127"/>
                <a:ea typeface="나눔바른고딕OTF" panose="02020603020101020101" pitchFamily="18" charset="-127"/>
              </a:rPr>
              <a:pPr algn="ctr"/>
              <a:t>9,376</a:t>
            </a:fld>
            <a:endParaRPr lang="en-US" altLang="en-US" sz="1800" b="1" i="0" u="none" strike="noStrike" spc="-120" baseline="0">
              <a:solidFill>
                <a:schemeClr val="bg1"/>
              </a:solidFill>
              <a:latin typeface="나눔바른고딕OTF" panose="02020603020101020101" pitchFamily="18" charset="-127"/>
              <a:ea typeface="나눔바른고딕OTF" panose="02020603020101020101" pitchFamily="18" charset="-127"/>
            </a:endParaRPr>
          </a:p>
        </xdr:txBody>
      </xdr:sp>
    </xdr:grpSp>
    <xdr:clientData/>
  </xdr:twoCellAnchor>
  <xdr:twoCellAnchor>
    <xdr:from>
      <xdr:col>18</xdr:col>
      <xdr:colOff>557893</xdr:colOff>
      <xdr:row>0</xdr:row>
      <xdr:rowOff>966107</xdr:rowOff>
    </xdr:from>
    <xdr:to>
      <xdr:col>23</xdr:col>
      <xdr:colOff>12247</xdr:colOff>
      <xdr:row>1</xdr:row>
      <xdr:rowOff>114300</xdr:rowOff>
    </xdr:to>
    <xdr:sp macro="" textlink="">
      <xdr:nvSpPr>
        <xdr:cNvPr id="75" name="모서리가 둥근 직사각형 74"/>
        <xdr:cNvSpPr/>
      </xdr:nvSpPr>
      <xdr:spPr>
        <a:xfrm>
          <a:off x="13294179" y="966107"/>
          <a:ext cx="2992211" cy="495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△  </a:t>
          </a:r>
          <a:r>
            <a:rPr lang="en-US" altLang="ko-KR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:  </a:t>
          </a:r>
          <a:r>
            <a:rPr lang="ko-KR" altLang="en-US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증가</a:t>
          </a:r>
          <a:r>
            <a:rPr lang="en-US" altLang="ko-KR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/</a:t>
          </a:r>
          <a:r>
            <a:rPr lang="ko-KR" altLang="en-US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여유</a:t>
          </a:r>
          <a:r>
            <a:rPr lang="en-US" altLang="ko-KR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, </a:t>
          </a:r>
          <a:r>
            <a:rPr lang="ko-KR" altLang="en-US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▼  </a:t>
          </a:r>
          <a:r>
            <a:rPr lang="en-US" altLang="ko-KR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:  </a:t>
          </a:r>
          <a:r>
            <a:rPr lang="ko-KR" altLang="en-US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감소</a:t>
          </a:r>
          <a:r>
            <a:rPr lang="en-US" altLang="ko-KR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/</a:t>
          </a:r>
          <a:r>
            <a:rPr lang="ko-KR" altLang="en-US" sz="16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부족</a:t>
          </a:r>
        </a:p>
      </xdr:txBody>
    </xdr:sp>
    <xdr:clientData/>
  </xdr:twoCellAnchor>
  <xdr:twoCellAnchor>
    <xdr:from>
      <xdr:col>11</xdr:col>
      <xdr:colOff>573865</xdr:colOff>
      <xdr:row>7</xdr:row>
      <xdr:rowOff>338310</xdr:rowOff>
    </xdr:from>
    <xdr:to>
      <xdr:col>22</xdr:col>
      <xdr:colOff>701763</xdr:colOff>
      <xdr:row>16</xdr:row>
      <xdr:rowOff>407475</xdr:rowOff>
    </xdr:to>
    <xdr:grpSp>
      <xdr:nvGrpSpPr>
        <xdr:cNvPr id="32" name="그룹 31"/>
        <xdr:cNvGrpSpPr/>
      </xdr:nvGrpSpPr>
      <xdr:grpSpPr>
        <a:xfrm>
          <a:off x="8357151" y="5236881"/>
          <a:ext cx="7911183" cy="6804701"/>
          <a:chOff x="8365591" y="5032775"/>
          <a:chExt cx="7908553" cy="6809740"/>
        </a:xfrm>
      </xdr:grpSpPr>
      <xdr:grpSp>
        <xdr:nvGrpSpPr>
          <xdr:cNvPr id="17" name="그룹 16"/>
          <xdr:cNvGrpSpPr/>
        </xdr:nvGrpSpPr>
        <xdr:grpSpPr>
          <a:xfrm>
            <a:off x="8365591" y="5032775"/>
            <a:ext cx="7908553" cy="6809740"/>
            <a:chOff x="8347888" y="5033576"/>
            <a:chExt cx="7889436" cy="6825163"/>
          </a:xfrm>
        </xdr:grpSpPr>
        <xdr:grpSp>
          <xdr:nvGrpSpPr>
            <xdr:cNvPr id="34" name="그룹 33"/>
            <xdr:cNvGrpSpPr/>
          </xdr:nvGrpSpPr>
          <xdr:grpSpPr>
            <a:xfrm>
              <a:off x="10594876" y="5033576"/>
              <a:ext cx="4073091" cy="1986001"/>
              <a:chOff x="2907398" y="10238963"/>
              <a:chExt cx="2808676" cy="1169504"/>
            </a:xfrm>
          </xdr:grpSpPr>
          <xdr:sp macro="" textlink="">
            <xdr:nvSpPr>
              <xdr:cNvPr id="35" name="모서리가 둥근 직사각형 34"/>
              <xdr:cNvSpPr/>
            </xdr:nvSpPr>
            <xdr:spPr>
              <a:xfrm>
                <a:off x="2907398" y="10238963"/>
                <a:ext cx="2808676" cy="116950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800" b="1" spc="-100" baseline="0">
                    <a:solidFill>
                      <a:schemeClr val="bg1"/>
                    </a:solidFill>
                    <a:latin typeface="나눔바른고딕OTF" panose="02020603020101020101" pitchFamily="18" charset="-127"/>
                    <a:ea typeface="나눔바른고딕OTF" panose="02020603020101020101" pitchFamily="18" charset="-127"/>
                  </a:rPr>
                  <a:t>목표 관람객 평균관람객 수준 비교 </a:t>
                </a:r>
              </a:p>
            </xdr:txBody>
          </xdr:sp>
          <xdr:cxnSp macro="">
            <xdr:nvCxnSpPr>
              <xdr:cNvPr id="36" name="직선 연결선 35"/>
              <xdr:cNvCxnSpPr/>
            </xdr:nvCxnSpPr>
            <xdr:spPr>
              <a:xfrm flipV="1">
                <a:off x="3114168" y="10602123"/>
                <a:ext cx="2468320" cy="0"/>
              </a:xfrm>
              <a:prstGeom prst="line">
                <a:avLst/>
              </a:prstGeom>
              <a:ln w="28575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직선 연결선 39"/>
              <xdr:cNvCxnSpPr/>
            </xdr:nvCxnSpPr>
            <xdr:spPr>
              <a:xfrm flipV="1">
                <a:off x="3100365" y="11046676"/>
                <a:ext cx="2520000" cy="0"/>
              </a:xfrm>
              <a:prstGeom prst="line">
                <a:avLst/>
              </a:prstGeom>
              <a:ln w="28575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" name="그룹 12"/>
            <xdr:cNvGrpSpPr/>
          </xdr:nvGrpSpPr>
          <xdr:grpSpPr>
            <a:xfrm>
              <a:off x="8347888" y="6313634"/>
              <a:ext cx="7889436" cy="5545105"/>
              <a:chOff x="8347888" y="6313634"/>
              <a:chExt cx="7889436" cy="5545105"/>
            </a:xfrm>
          </xdr:grpSpPr>
          <xdr:graphicFrame macro="">
            <xdr:nvGraphicFramePr>
              <xdr:cNvPr id="3" name="차트 2"/>
              <xdr:cNvGraphicFramePr/>
            </xdr:nvGraphicFramePr>
            <xdr:xfrm>
              <a:off x="8368926" y="6313634"/>
              <a:ext cx="7868398" cy="487709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$AB$15">
            <xdr:nvSpPr>
              <xdr:cNvPr id="64" name="모서리가 둥근 직사각형 63"/>
              <xdr:cNvSpPr/>
            </xdr:nvSpPr>
            <xdr:spPr>
              <a:xfrm>
                <a:off x="9742460" y="11181340"/>
                <a:ext cx="918882" cy="504265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3EB0F935-09D5-4668-9447-C186CC416838}" type="TxLink">
                  <a:rPr lang="en-US" altLang="en-US" sz="1400" b="0" i="0" u="none" strike="noStrike" spc="-120" baseline="0">
                    <a:solidFill>
                      <a:srgbClr val="000000"/>
                    </a:solidFill>
                    <a:latin typeface="나눔바른고딕OTF"/>
                    <a:ea typeface="나눔바른고딕OTF"/>
                    <a:cs typeface="+mn-cs"/>
                  </a:rPr>
                  <a:pPr marL="0" indent="0" algn="ctr"/>
                  <a:t>▼ 222</a:t>
                </a:fld>
                <a:endParaRPr lang="en-US" altLang="en-US" sz="2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endParaRPr>
              </a:p>
            </xdr:txBody>
          </xdr:sp>
          <xdr:sp macro="" textlink="$AC$15">
            <xdr:nvSpPr>
              <xdr:cNvPr id="65" name="모서리가 둥근 직사각형 64"/>
              <xdr:cNvSpPr/>
            </xdr:nvSpPr>
            <xdr:spPr>
              <a:xfrm>
                <a:off x="10851843" y="11181340"/>
                <a:ext cx="918882" cy="504265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C4BA9F08-D872-4442-B8D8-89039AE077C6}" type="TxLink">
                  <a:rPr lang="en-US" altLang="en-US" sz="1400" b="0" i="0" u="none" strike="noStrike" spc="-120" baseline="0">
                    <a:solidFill>
                      <a:srgbClr val="000000"/>
                    </a:solidFill>
                    <a:latin typeface="나눔바른고딕OTF"/>
                    <a:ea typeface="나눔바른고딕OTF"/>
                    <a:cs typeface="+mn-cs"/>
                  </a:rPr>
                  <a:pPr marL="0" indent="0" algn="ctr"/>
                  <a:t>▼ 168</a:t>
                </a:fld>
                <a:endParaRPr lang="en-US" altLang="en-US" sz="2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endParaRPr>
              </a:p>
            </xdr:txBody>
          </xdr:sp>
          <xdr:sp macro="" textlink="$AD$15">
            <xdr:nvSpPr>
              <xdr:cNvPr id="66" name="모서리가 둥근 직사각형 65"/>
              <xdr:cNvSpPr/>
            </xdr:nvSpPr>
            <xdr:spPr>
              <a:xfrm>
                <a:off x="11882783" y="11181340"/>
                <a:ext cx="918882" cy="504265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1251FFDF-A871-4B7C-B4EF-D27D678B0594}" type="TxLink">
                  <a:rPr lang="en-US" altLang="en-US" sz="1400" b="0" i="0" u="none" strike="noStrike" spc="-120" baseline="0">
                    <a:solidFill>
                      <a:srgbClr val="000000"/>
                    </a:solidFill>
                    <a:latin typeface="나눔바른고딕OTF"/>
                    <a:ea typeface="나눔바른고딕OTF"/>
                    <a:cs typeface="+mn-cs"/>
                  </a:rPr>
                  <a:pPr marL="0" indent="0" algn="ctr"/>
                  <a:t>▼ 114</a:t>
                </a:fld>
                <a:endParaRPr lang="en-US" altLang="en-US" sz="2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endParaRPr>
              </a:p>
            </xdr:txBody>
          </xdr:sp>
          <xdr:sp macro="" textlink="$AF$15">
            <xdr:nvSpPr>
              <xdr:cNvPr id="67" name="모서리가 둥근 직사각형 66"/>
              <xdr:cNvSpPr/>
            </xdr:nvSpPr>
            <xdr:spPr>
              <a:xfrm>
                <a:off x="14011902" y="11181340"/>
                <a:ext cx="918882" cy="504265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A5515E44-FD4C-4689-8178-E3D8C42F694C}" type="TxLink">
                  <a:rPr lang="en-US" altLang="en-US" sz="1400" b="0" i="0" u="none" strike="noStrike" spc="-120" baseline="0">
                    <a:solidFill>
                      <a:srgbClr val="000000"/>
                    </a:solidFill>
                    <a:latin typeface="나눔바른고딕OTF"/>
                    <a:ea typeface="나눔바른고딕OTF"/>
                    <a:cs typeface="+mn-cs"/>
                  </a:rPr>
                  <a:pPr marL="0" indent="0" algn="ctr"/>
                  <a:t>▼ 7</a:t>
                </a:fld>
                <a:endParaRPr lang="en-US" altLang="en-US" sz="2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endParaRPr>
              </a:p>
            </xdr:txBody>
          </xdr:sp>
          <xdr:sp macro="" textlink="$AG$15">
            <xdr:nvSpPr>
              <xdr:cNvPr id="68" name="모서리가 둥근 직사각형 67"/>
              <xdr:cNvSpPr/>
            </xdr:nvSpPr>
            <xdr:spPr>
              <a:xfrm>
                <a:off x="15110079" y="11181340"/>
                <a:ext cx="918882" cy="504265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70B2EAC2-9578-4949-AF4A-3285125D9101}" type="TxLink">
                  <a:rPr lang="en-US" altLang="en-US" sz="1400" b="0" i="0" u="none" strike="noStrike" spc="-120" baseline="0">
                    <a:solidFill>
                      <a:srgbClr val="000000"/>
                    </a:solidFill>
                    <a:latin typeface="나눔바른고딕OTF"/>
                    <a:ea typeface="나눔바른고딕OTF"/>
                    <a:cs typeface="+mn-cs"/>
                  </a:rPr>
                  <a:pPr marL="0" indent="0" algn="ctr"/>
                  <a:t>△ 47</a:t>
                </a:fld>
                <a:endParaRPr lang="en-US" altLang="en-US" sz="2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endParaRPr>
              </a:p>
            </xdr:txBody>
          </xdr:sp>
          <xdr:sp macro="" textlink="">
            <xdr:nvSpPr>
              <xdr:cNvPr id="69" name="모서리가 둥근 직사각형 68"/>
              <xdr:cNvSpPr/>
            </xdr:nvSpPr>
            <xdr:spPr>
              <a:xfrm>
                <a:off x="8347888" y="11028370"/>
                <a:ext cx="1282512" cy="830369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400" spc="-120" baseline="0"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</a:rPr>
                  <a:t>목표평균관람객</a:t>
                </a:r>
                <a:endParaRPr lang="en-US" altLang="ko-KR" sz="14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endParaRPr>
              </a:p>
              <a:p>
                <a:pPr algn="ctr"/>
                <a:r>
                  <a:rPr lang="ko-KR" altLang="en-US" sz="1400" spc="-120" baseline="0"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</a:rPr>
                  <a:t>대비</a:t>
                </a:r>
              </a:p>
            </xdr:txBody>
          </xdr:sp>
          <xdr:sp macro="" textlink="$AE$15">
            <xdr:nvSpPr>
              <xdr:cNvPr id="70" name="모서리가 둥근 직사각형 69"/>
              <xdr:cNvSpPr/>
            </xdr:nvSpPr>
            <xdr:spPr>
              <a:xfrm>
                <a:off x="12992167" y="11181340"/>
                <a:ext cx="918882" cy="504265"/>
              </a:xfrm>
              <a:prstGeom prst="roundRect">
                <a:avLst/>
              </a:prstGeom>
              <a:solidFill>
                <a:schemeClr val="bg1">
                  <a:lumMod val="8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9247FCA2-12F3-4B8D-AFB3-9A2B85F1577B}" type="TxLink">
                  <a:rPr lang="en-US" altLang="en-US" sz="1400" b="0" i="0" u="none" strike="noStrike" spc="-120" baseline="0">
                    <a:solidFill>
                      <a:srgbClr val="000000"/>
                    </a:solidFill>
                    <a:latin typeface="나눔바른고딕OTF"/>
                    <a:ea typeface="나눔바른고딕OTF"/>
                    <a:cs typeface="+mn-cs"/>
                  </a:rPr>
                  <a:pPr marL="0" indent="0" algn="ctr"/>
                  <a:t>▼ 60</a:t>
                </a:fld>
                <a:endParaRPr lang="en-US" altLang="en-US" sz="1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endParaRPr>
              </a:p>
            </xdr:txBody>
          </xdr:sp>
        </xdr:grpSp>
      </xdr:grpSp>
      <xdr:sp macro="" textlink="">
        <xdr:nvSpPr>
          <xdr:cNvPr id="76" name="모서리가 둥근 직사각형 75"/>
          <xdr:cNvSpPr/>
        </xdr:nvSpPr>
        <xdr:spPr>
          <a:xfrm>
            <a:off x="14981463" y="6436179"/>
            <a:ext cx="1155247" cy="4953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altLang="ko-KR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(</a:t>
            </a:r>
            <a:r>
              <a:rPr lang="ko-KR" altLang="en-US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단위 </a:t>
            </a:r>
            <a:r>
              <a:rPr lang="en-US" altLang="ko-KR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: </a:t>
            </a:r>
            <a:r>
              <a:rPr lang="ko-KR" altLang="en-US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명</a:t>
            </a:r>
            <a:r>
              <a:rPr lang="en-US" altLang="ko-KR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)</a:t>
            </a:r>
            <a:endParaRPr lang="ko-KR" altLang="en-US" sz="14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7</xdr:row>
      <xdr:rowOff>283886</xdr:rowOff>
    </xdr:from>
    <xdr:to>
      <xdr:col>11</xdr:col>
      <xdr:colOff>308215</xdr:colOff>
      <xdr:row>17</xdr:row>
      <xdr:rowOff>86590</xdr:rowOff>
    </xdr:to>
    <xdr:grpSp>
      <xdr:nvGrpSpPr>
        <xdr:cNvPr id="33" name="그룹 32"/>
        <xdr:cNvGrpSpPr/>
      </xdr:nvGrpSpPr>
      <xdr:grpSpPr>
        <a:xfrm>
          <a:off x="0" y="5182457"/>
          <a:ext cx="8091501" cy="7082526"/>
          <a:chOff x="8283" y="4981515"/>
          <a:chExt cx="8091501" cy="6666199"/>
        </a:xfrm>
      </xdr:grpSpPr>
      <xdr:grpSp>
        <xdr:nvGrpSpPr>
          <xdr:cNvPr id="29" name="그룹 28"/>
          <xdr:cNvGrpSpPr/>
        </xdr:nvGrpSpPr>
        <xdr:grpSpPr>
          <a:xfrm>
            <a:off x="8283" y="4981515"/>
            <a:ext cx="8091501" cy="6666199"/>
            <a:chOff x="8283" y="4981515"/>
            <a:chExt cx="8091501" cy="6666199"/>
          </a:xfrm>
        </xdr:grpSpPr>
        <xdr:graphicFrame macro="">
          <xdr:nvGraphicFramePr>
            <xdr:cNvPr id="8" name="차트 7"/>
            <xdr:cNvGraphicFramePr/>
          </xdr:nvGraphicFramePr>
          <xdr:xfrm>
            <a:off x="8283" y="6981411"/>
            <a:ext cx="3546893" cy="466630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9" name="차트 8"/>
            <xdr:cNvGraphicFramePr/>
          </xdr:nvGraphicFramePr>
          <xdr:xfrm>
            <a:off x="3391497" y="6636563"/>
            <a:ext cx="4708287" cy="419348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55" name="그룹 54"/>
            <xdr:cNvGrpSpPr/>
          </xdr:nvGrpSpPr>
          <xdr:grpSpPr>
            <a:xfrm>
              <a:off x="2703531" y="4981515"/>
              <a:ext cx="3744918" cy="1981199"/>
              <a:chOff x="3002015" y="10208703"/>
              <a:chExt cx="2808676" cy="1169504"/>
            </a:xfrm>
          </xdr:grpSpPr>
          <xdr:sp macro="" textlink="">
            <xdr:nvSpPr>
              <xdr:cNvPr id="56" name="모서리가 둥근 직사각형 55"/>
              <xdr:cNvSpPr/>
            </xdr:nvSpPr>
            <xdr:spPr>
              <a:xfrm>
                <a:off x="3002015" y="10208703"/>
                <a:ext cx="2808676" cy="116950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800" b="1" spc="-100" baseline="0">
                    <a:solidFill>
                      <a:schemeClr val="bg1"/>
                    </a:solidFill>
                    <a:latin typeface="나눔바른고딕OTF" panose="02020603020101020101" pitchFamily="18" charset="-127"/>
                    <a:ea typeface="나눔바른고딕OTF" panose="02020603020101020101" pitchFamily="18" charset="-127"/>
                  </a:rPr>
                  <a:t>해당일자 유무료 관람객</a:t>
                </a:r>
              </a:p>
            </xdr:txBody>
          </xdr:sp>
          <xdr:cxnSp macro="">
            <xdr:nvCxnSpPr>
              <xdr:cNvPr id="57" name="직선 연결선 56"/>
              <xdr:cNvCxnSpPr/>
            </xdr:nvCxnSpPr>
            <xdr:spPr>
              <a:xfrm flipV="1">
                <a:off x="3114168" y="10579428"/>
                <a:ext cx="2468320" cy="0"/>
              </a:xfrm>
              <a:prstGeom prst="line">
                <a:avLst/>
              </a:prstGeom>
              <a:ln w="28575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직선 연결선 57"/>
              <xdr:cNvCxnSpPr/>
            </xdr:nvCxnSpPr>
            <xdr:spPr>
              <a:xfrm flipV="1">
                <a:off x="3100365" y="11023981"/>
                <a:ext cx="2520000" cy="0"/>
              </a:xfrm>
              <a:prstGeom prst="line">
                <a:avLst/>
              </a:prstGeom>
              <a:ln w="28575">
                <a:solidFill>
                  <a:schemeClr val="bg1">
                    <a:lumMod val="6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$AB$10">
          <xdr:nvSpPr>
            <xdr:cNvPr id="11" name="모서리가 둥근 직사각형 10"/>
            <xdr:cNvSpPr/>
          </xdr:nvSpPr>
          <xdr:spPr>
            <a:xfrm>
              <a:off x="3593886" y="10832086"/>
              <a:ext cx="886866" cy="50426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B8A32890-6A88-4DA2-AEE3-587E647DBEEB}" type="TxLink">
                <a:rPr lang="en-US" altLang="en-US" sz="14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</a:rPr>
                <a:pPr algn="ctr"/>
                <a:t>9,376명</a:t>
              </a:fld>
              <a:endParaRPr lang="ko-KR" altLang="en-US" sz="2000" spc="-120" baseline="0">
                <a:latin typeface="나눔바른고딕OTF" panose="02020603020101020101" pitchFamily="18" charset="-127"/>
                <a:ea typeface="나눔바른고딕OTF" panose="02020603020101020101" pitchFamily="18" charset="-127"/>
              </a:endParaRPr>
            </a:p>
          </xdr:txBody>
        </xdr:sp>
        <xdr:sp macro="" textlink="$AC$10">
          <xdr:nvSpPr>
            <xdr:cNvPr id="59" name="모서리가 둥근 직사각형 58"/>
            <xdr:cNvSpPr/>
          </xdr:nvSpPr>
          <xdr:spPr>
            <a:xfrm>
              <a:off x="4704870" y="10832086"/>
              <a:ext cx="886865" cy="50426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01B65191-0E97-4E1D-AE65-D581E5FB5297}" type="TxLink">
                <a:rPr lang="en-US" altLang="en-US" sz="12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rPr>
                <a:pPr marL="0" indent="0" algn="ctr"/>
                <a:t>10,016명</a:t>
              </a:fld>
              <a:endParaRPr lang="ko-KR" altLang="en-US" sz="1200" b="0" i="0" u="none" strike="noStrike" spc="-120" baseline="0">
                <a:solidFill>
                  <a:srgbClr val="000000"/>
                </a:solidFill>
                <a:latin typeface="나눔바른고딕OTF"/>
                <a:ea typeface="나눔바른고딕OTF"/>
                <a:cs typeface="+mn-cs"/>
              </a:endParaRPr>
            </a:p>
          </xdr:txBody>
        </xdr:sp>
        <xdr:sp macro="" textlink="$AD$10">
          <xdr:nvSpPr>
            <xdr:cNvPr id="60" name="모서리가 둥근 직사각형 59"/>
            <xdr:cNvSpPr/>
          </xdr:nvSpPr>
          <xdr:spPr>
            <a:xfrm>
              <a:off x="5873483" y="10832086"/>
              <a:ext cx="886867" cy="50426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9BA4A602-8D74-4DBF-A567-B64296B0F2BB}" type="TxLink">
                <a:rPr lang="en-US" altLang="en-US" sz="12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rPr>
                <a:pPr marL="0" indent="0" algn="ctr"/>
                <a:t>7,124명</a:t>
              </a:fld>
              <a:endParaRPr lang="ko-KR" altLang="en-US" sz="1200" b="0" i="0" u="none" strike="noStrike" spc="-120" baseline="0">
                <a:solidFill>
                  <a:srgbClr val="000000"/>
                </a:solidFill>
                <a:latin typeface="나눔바른고딕OTF"/>
                <a:ea typeface="나눔바른고딕OTF"/>
                <a:cs typeface="+mn-cs"/>
              </a:endParaRPr>
            </a:p>
          </xdr:txBody>
        </xdr:sp>
        <xdr:sp macro="" textlink="$AE$10">
          <xdr:nvSpPr>
            <xdr:cNvPr id="61" name="모서리가 둥근 직사각형 60"/>
            <xdr:cNvSpPr/>
          </xdr:nvSpPr>
          <xdr:spPr>
            <a:xfrm>
              <a:off x="6906026" y="10832086"/>
              <a:ext cx="922084" cy="50426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59432BEE-90EE-4DC3-B056-9E0A70AA7D17}" type="TxLink">
                <a:rPr lang="en-US" altLang="en-US" sz="1200" b="0" i="0" u="none" strike="noStrike" spc="-120" baseline="0">
                  <a:solidFill>
                    <a:srgbClr val="000000"/>
                  </a:solidFill>
                  <a:latin typeface="나눔바른고딕OTF"/>
                  <a:ea typeface="나눔바른고딕OTF"/>
                  <a:cs typeface="+mn-cs"/>
                </a:rPr>
                <a:pPr marL="0" indent="0" algn="ctr"/>
                <a:t>6,321명</a:t>
              </a:fld>
              <a:endParaRPr lang="ko-KR" altLang="en-US" sz="1200" b="0" i="0" u="none" strike="noStrike" spc="-120" baseline="0">
                <a:solidFill>
                  <a:srgbClr val="000000"/>
                </a:solidFill>
                <a:latin typeface="나눔바른고딕OTF"/>
                <a:ea typeface="나눔바른고딕OTF"/>
                <a:cs typeface="+mn-cs"/>
              </a:endParaRPr>
            </a:p>
          </xdr:txBody>
        </xdr:sp>
        <xdr:sp macro="" textlink="">
          <xdr:nvSpPr>
            <xdr:cNvPr id="6" name="모서리가 둥근 직사각형 5"/>
            <xdr:cNvSpPr/>
          </xdr:nvSpPr>
          <xdr:spPr>
            <a:xfrm>
              <a:off x="532039" y="10975521"/>
              <a:ext cx="2624818" cy="4953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※ </a:t>
              </a:r>
              <a:r>
                <a:rPr lang="ko-KR" altLang="en-US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무료 </a:t>
              </a:r>
              <a:r>
                <a:rPr lang="en-US" altLang="ko-KR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: </a:t>
              </a:r>
              <a:r>
                <a:rPr lang="ko-KR" altLang="en-US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초대권</a:t>
              </a:r>
              <a:r>
                <a:rPr lang="en-US" altLang="ko-KR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, </a:t>
              </a:r>
              <a:r>
                <a:rPr lang="ko-KR" altLang="en-US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만 </a:t>
              </a:r>
              <a:r>
                <a:rPr lang="en-US" altLang="ko-KR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4</a:t>
              </a:r>
              <a:r>
                <a:rPr lang="ko-KR" altLang="en-US" sz="1600" spc="-120" baseline="0">
                  <a:latin typeface="나눔바른고딕OTF Light" panose="02000303000000000000" pitchFamily="50" charset="-127"/>
                  <a:ea typeface="나눔바른고딕OTF Light" panose="02000303000000000000" pitchFamily="50" charset="-127"/>
                </a:rPr>
                <a:t>세 미만</a:t>
              </a:r>
            </a:p>
          </xdr:txBody>
        </xdr:sp>
      </xdr:grpSp>
      <xdr:sp macro="" textlink="">
        <xdr:nvSpPr>
          <xdr:cNvPr id="77" name="모서리가 둥근 직사각형 76"/>
          <xdr:cNvSpPr/>
        </xdr:nvSpPr>
        <xdr:spPr>
          <a:xfrm>
            <a:off x="6871607" y="6415290"/>
            <a:ext cx="1059996" cy="4953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altLang="ko-KR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(</a:t>
            </a:r>
            <a:r>
              <a:rPr lang="ko-KR" altLang="en-US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단위 </a:t>
            </a:r>
            <a:r>
              <a:rPr lang="en-US" altLang="ko-KR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: </a:t>
            </a:r>
            <a:r>
              <a:rPr lang="ko-KR" altLang="en-US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명</a:t>
            </a:r>
            <a:r>
              <a:rPr lang="en-US" altLang="ko-KR" sz="1400" spc="-120" baseline="0">
                <a:latin typeface="나눔바른고딕OTF Light" panose="02000303000000000000" pitchFamily="50" charset="-127"/>
                <a:ea typeface="나눔바른고딕OTF Light" panose="02000303000000000000" pitchFamily="50" charset="-127"/>
              </a:rPr>
              <a:t>)</a:t>
            </a:r>
            <a:endParaRPr lang="ko-KR" altLang="en-US" sz="1400" spc="-120" baseline="0">
              <a:latin typeface="나눔바른고딕OTF Light" panose="02000303000000000000" pitchFamily="50" charset="-127"/>
              <a:ea typeface="나눔바른고딕OTF Light" panose="02000303000000000000" pitchFamily="50" charset="-127"/>
            </a:endParaRPr>
          </a:p>
        </xdr:txBody>
      </xdr:sp>
    </xdr:grpSp>
    <xdr:clientData/>
  </xdr:twoCellAnchor>
  <xdr:twoCellAnchor>
    <xdr:from>
      <xdr:col>14</xdr:col>
      <xdr:colOff>81643</xdr:colOff>
      <xdr:row>19</xdr:row>
      <xdr:rowOff>0</xdr:rowOff>
    </xdr:from>
    <xdr:to>
      <xdr:col>22</xdr:col>
      <xdr:colOff>517072</xdr:colOff>
      <xdr:row>26</xdr:row>
      <xdr:rowOff>435429</xdr:rowOff>
    </xdr:to>
    <xdr:graphicFrame macro="">
      <xdr:nvGraphicFramePr>
        <xdr:cNvPr id="92" name="차트 9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398318</xdr:colOff>
      <xdr:row>2</xdr:row>
      <xdr:rowOff>640772</xdr:rowOff>
    </xdr:from>
    <xdr:to>
      <xdr:col>22</xdr:col>
      <xdr:colOff>467591</xdr:colOff>
      <xdr:row>7</xdr:row>
      <xdr:rowOff>467590</xdr:rowOff>
    </xdr:to>
    <xdr:grpSp>
      <xdr:nvGrpSpPr>
        <xdr:cNvPr id="74" name="그룹 73"/>
        <xdr:cNvGrpSpPr/>
      </xdr:nvGrpSpPr>
      <xdr:grpSpPr>
        <a:xfrm>
          <a:off x="13842175" y="2355272"/>
          <a:ext cx="2191987" cy="3010889"/>
          <a:chOff x="13889182" y="2355272"/>
          <a:chExt cx="2199409" cy="2996045"/>
        </a:xfrm>
      </xdr:grpSpPr>
      <xdr:grpSp>
        <xdr:nvGrpSpPr>
          <xdr:cNvPr id="73" name="그룹 72"/>
          <xdr:cNvGrpSpPr/>
        </xdr:nvGrpSpPr>
        <xdr:grpSpPr>
          <a:xfrm>
            <a:off x="13889182" y="2355272"/>
            <a:ext cx="2199409" cy="2996045"/>
            <a:chOff x="2563091" y="2441863"/>
            <a:chExt cx="2199409" cy="2996045"/>
          </a:xfrm>
        </xdr:grpSpPr>
        <xdr:grpSp>
          <xdr:nvGrpSpPr>
            <xdr:cNvPr id="62" name="그룹 61"/>
            <xdr:cNvGrpSpPr/>
          </xdr:nvGrpSpPr>
          <xdr:grpSpPr>
            <a:xfrm>
              <a:off x="2788229" y="2510270"/>
              <a:ext cx="1749137" cy="2841050"/>
              <a:chOff x="3654138" y="1183271"/>
              <a:chExt cx="1749137" cy="2973095"/>
            </a:xfrm>
          </xdr:grpSpPr>
          <xdr:sp macro="" textlink="">
            <xdr:nvSpPr>
              <xdr:cNvPr id="44" name="모서리가 둥근 직사각형 43"/>
              <xdr:cNvSpPr/>
            </xdr:nvSpPr>
            <xdr:spPr>
              <a:xfrm>
                <a:off x="3654138" y="1183271"/>
                <a:ext cx="1749137" cy="53686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400" spc="-120" baseline="0"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</a:rPr>
                  <a:t>진행일차</a:t>
                </a:r>
              </a:p>
            </xdr:txBody>
          </xdr:sp>
          <xdr:sp macro="" textlink="일자별요약v2!F8">
            <xdr:nvSpPr>
              <xdr:cNvPr id="91" name="모서리가 둥근 직사각형 90"/>
              <xdr:cNvSpPr/>
            </xdr:nvSpPr>
            <xdr:spPr>
              <a:xfrm>
                <a:off x="3654138" y="1525611"/>
                <a:ext cx="1749137" cy="53686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B609F459-A209-44AB-848C-0C0132E93006}" type="TxLink">
                  <a:rPr lang="en-US" altLang="en-US" sz="2400" b="1" i="0" u="none" strike="noStrike" spc="-120" baseline="0">
                    <a:solidFill>
                      <a:schemeClr val="bg1"/>
                    </a:solidFill>
                    <a:latin typeface="나눔바른고딕 Light"/>
                    <a:ea typeface="나눔바른고딕 Light"/>
                  </a:rPr>
                  <a:pPr algn="ctr"/>
                  <a:t>45일차</a:t>
                </a:fld>
                <a:endParaRPr lang="ko-KR" altLang="en-US" sz="4000" b="1" spc="-120" baseline="0">
                  <a:solidFill>
                    <a:schemeClr val="bg1"/>
                  </a:solidFill>
                  <a:latin typeface="나눔바른고딕OTF Light" panose="02000303000000000000" pitchFamily="50" charset="-127"/>
                  <a:ea typeface="나눔바른고딕OTF Light" panose="02000303000000000000" pitchFamily="50" charset="-127"/>
                </a:endParaRPr>
              </a:p>
            </xdr:txBody>
          </xdr:sp>
          <xdr:sp macro="" textlink="">
            <xdr:nvSpPr>
              <xdr:cNvPr id="93" name="모서리가 둥근 직사각형 92"/>
              <xdr:cNvSpPr/>
            </xdr:nvSpPr>
            <xdr:spPr>
              <a:xfrm>
                <a:off x="3654138" y="2183701"/>
                <a:ext cx="1749137" cy="53686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400" spc="-120" baseline="0"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</a:rPr>
                  <a:t>잔여일수</a:t>
                </a:r>
              </a:p>
            </xdr:txBody>
          </xdr:sp>
          <xdr:sp macro="" textlink="일자별요약v2!H8">
            <xdr:nvSpPr>
              <xdr:cNvPr id="94" name="모서리가 둥근 직사각형 93"/>
              <xdr:cNvSpPr/>
            </xdr:nvSpPr>
            <xdr:spPr>
              <a:xfrm>
                <a:off x="3654138" y="2545773"/>
                <a:ext cx="1749137" cy="53686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20B45043-86E7-4937-9E6E-6AEA01C67D76}" type="TxLink">
                  <a:rPr lang="en-US" altLang="en-US" sz="2400" b="1" i="0" u="none" strike="noStrike" spc="-120" baseline="0">
                    <a:solidFill>
                      <a:schemeClr val="bg1"/>
                    </a:solidFill>
                    <a:latin typeface="나눔바른고딕 Light"/>
                    <a:ea typeface="나눔바른고딕 Light"/>
                    <a:cs typeface="+mn-cs"/>
                  </a:rPr>
                  <a:pPr marL="0" indent="0" algn="ctr"/>
                  <a:t>48일</a:t>
                </a:fld>
                <a:endParaRPr lang="ko-KR" altLang="en-US" sz="2400" b="1" i="0" u="none" strike="noStrike" spc="-120" baseline="0">
                  <a:solidFill>
                    <a:schemeClr val="bg1"/>
                  </a:solidFill>
                  <a:latin typeface="나눔바른고딕 Light"/>
                  <a:ea typeface="나눔바른고딕 Light"/>
                  <a:cs typeface="+mn-cs"/>
                </a:endParaRPr>
              </a:p>
            </xdr:txBody>
          </xdr:sp>
          <xdr:sp macro="" textlink="">
            <xdr:nvSpPr>
              <xdr:cNvPr id="95" name="모서리가 둥근 직사각형 94"/>
              <xdr:cNvSpPr/>
            </xdr:nvSpPr>
            <xdr:spPr>
              <a:xfrm>
                <a:off x="3654138" y="3205475"/>
                <a:ext cx="1749137" cy="53686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400" spc="-120" baseline="0">
                    <a:latin typeface="나눔바른고딕OTF Light" panose="02000303000000000000" pitchFamily="50" charset="-127"/>
                    <a:ea typeface="나눔바른고딕OTF Light" panose="02000303000000000000" pitchFamily="50" charset="-127"/>
                  </a:rPr>
                  <a:t>전시진행율</a:t>
                </a:r>
              </a:p>
            </xdr:txBody>
          </xdr:sp>
          <xdr:sp macro="" textlink="일자별요약v2!H5">
            <xdr:nvSpPr>
              <xdr:cNvPr id="96" name="모서리가 둥근 직사각형 95"/>
              <xdr:cNvSpPr/>
            </xdr:nvSpPr>
            <xdr:spPr>
              <a:xfrm>
                <a:off x="3654138" y="3619502"/>
                <a:ext cx="1749137" cy="536864"/>
              </a:xfrm>
              <a:prstGeom prst="round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381F4596-CD16-4FB1-94E8-7259A80AC97A}" type="TxLink">
                  <a:rPr lang="en-US" altLang="en-US" sz="2400" b="1" i="0" u="none" strike="noStrike" spc="-120" baseline="0">
                    <a:solidFill>
                      <a:schemeClr val="bg1"/>
                    </a:solidFill>
                    <a:latin typeface="나눔바른고딕 Light"/>
                    <a:ea typeface="나눔바른고딕 Light"/>
                    <a:cs typeface="+mn-cs"/>
                  </a:rPr>
                  <a:pPr marL="0" indent="0" algn="ctr"/>
                  <a:t>48.4%</a:t>
                </a:fld>
                <a:endParaRPr lang="ko-KR" altLang="en-US" sz="2400" b="1" i="0" u="none" strike="noStrike" spc="-120" baseline="0">
                  <a:solidFill>
                    <a:schemeClr val="bg1"/>
                  </a:solidFill>
                  <a:latin typeface="나눔바른고딕 Light"/>
                  <a:ea typeface="나눔바른고딕 Light"/>
                  <a:cs typeface="+mn-cs"/>
                </a:endParaRPr>
              </a:p>
            </xdr:txBody>
          </xdr:sp>
        </xdr:grpSp>
        <xdr:sp macro="" textlink="">
          <xdr:nvSpPr>
            <xdr:cNvPr id="63" name="모서리가 둥근 직사각형 62"/>
            <xdr:cNvSpPr/>
          </xdr:nvSpPr>
          <xdr:spPr>
            <a:xfrm>
              <a:off x="2563091" y="2441863"/>
              <a:ext cx="2199409" cy="2996045"/>
            </a:xfrm>
            <a:prstGeom prst="roundRect">
              <a:avLst>
                <a:gd name="adj" fmla="val 18242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cxnSp macro="">
        <xdr:nvCxnSpPr>
          <xdr:cNvPr id="97" name="직선 연결선 96"/>
          <xdr:cNvCxnSpPr/>
        </xdr:nvCxnSpPr>
        <xdr:spPr>
          <a:xfrm>
            <a:off x="14573340" y="3300216"/>
            <a:ext cx="831097" cy="0"/>
          </a:xfrm>
          <a:prstGeom prst="line">
            <a:avLst/>
          </a:prstGeom>
          <a:ln w="12700"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직선 연결선 97"/>
          <xdr:cNvCxnSpPr/>
        </xdr:nvCxnSpPr>
        <xdr:spPr>
          <a:xfrm>
            <a:off x="14573340" y="4260273"/>
            <a:ext cx="831097" cy="0"/>
          </a:xfrm>
          <a:prstGeom prst="line">
            <a:avLst/>
          </a:prstGeom>
          <a:ln w="12700"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714374</xdr:colOff>
          <xdr:row>116</xdr:row>
          <xdr:rowOff>48150</xdr:rowOff>
        </xdr:from>
        <xdr:to>
          <xdr:col>9</xdr:col>
          <xdr:colOff>1089577</xdr:colOff>
          <xdr:row>138</xdr:row>
          <xdr:rowOff>347870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graph!$A$70:$U$122" spid="_x0000_s1428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14374" y="30861525"/>
              <a:ext cx="10166903" cy="827214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19051</xdr:colOff>
          <xdr:row>97</xdr:row>
          <xdr:rowOff>47623</xdr:rowOff>
        </xdr:from>
        <xdr:to>
          <xdr:col>9</xdr:col>
          <xdr:colOff>1095375</xdr:colOff>
          <xdr:row>114</xdr:row>
          <xdr:rowOff>323850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graph!$A$1:$U$68" spid="_x0000_s14288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23876" y="23279098"/>
              <a:ext cx="10144124" cy="659130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281611</xdr:colOff>
      <xdr:row>116</xdr:row>
      <xdr:rowOff>66675</xdr:rowOff>
    </xdr:from>
    <xdr:to>
      <xdr:col>6</xdr:col>
      <xdr:colOff>733425</xdr:colOff>
      <xdr:row>117</xdr:row>
      <xdr:rowOff>136370</xdr:rowOff>
    </xdr:to>
    <xdr:sp macro="" textlink="">
      <xdr:nvSpPr>
        <xdr:cNvPr id="4" name="TextBox 3"/>
        <xdr:cNvSpPr txBox="1"/>
      </xdr:nvSpPr>
      <xdr:spPr>
        <a:xfrm>
          <a:off x="1005511" y="30880050"/>
          <a:ext cx="6119189" cy="441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마르지엘라 추세 유사 </a:t>
          </a:r>
          <a:r>
            <a:rPr lang="en-US" altLang="ko-KR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(1</a:t>
          </a:r>
          <a:r>
            <a:rPr lang="ko-KR" altLang="en-US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일차 </a:t>
          </a:r>
          <a:r>
            <a:rPr lang="en-US" altLang="ko-KR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~ 28</a:t>
          </a:r>
          <a:r>
            <a:rPr lang="ko-KR" altLang="en-US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일차</a:t>
          </a:r>
          <a:r>
            <a:rPr lang="en-US" altLang="ko-KR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)</a:t>
          </a:r>
          <a:endParaRPr lang="ko-KR" altLang="en-US" sz="1200" spc="-120" baseline="0">
            <a:latin typeface="나눔바른고딕OTF" panose="02020603020101020101" pitchFamily="18" charset="-127"/>
            <a:ea typeface="나눔바른고딕OTF" panose="02020603020101020101" pitchFamily="18" charset="-127"/>
          </a:endParaRPr>
        </a:p>
      </xdr:txBody>
    </xdr:sp>
    <xdr:clientData/>
  </xdr:twoCellAnchor>
  <xdr:twoCellAnchor>
    <xdr:from>
      <xdr:col>6</xdr:col>
      <xdr:colOff>809626</xdr:colOff>
      <xdr:row>116</xdr:row>
      <xdr:rowOff>65181</xdr:rowOff>
    </xdr:from>
    <xdr:to>
      <xdr:col>8</xdr:col>
      <xdr:colOff>0</xdr:colOff>
      <xdr:row>117</xdr:row>
      <xdr:rowOff>142875</xdr:rowOff>
    </xdr:to>
    <xdr:sp macro="" textlink="">
      <xdr:nvSpPr>
        <xdr:cNvPr id="5" name="TextBox 4"/>
        <xdr:cNvSpPr txBox="1"/>
      </xdr:nvSpPr>
      <xdr:spPr>
        <a:xfrm>
          <a:off x="7200901" y="30878556"/>
          <a:ext cx="1457324" cy="44916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마르지엘라 차이 </a:t>
          </a:r>
          <a:r>
            <a:rPr lang="en-US" altLang="ko-KR" sz="9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(29~35</a:t>
          </a:r>
          <a:r>
            <a:rPr lang="ko-KR" altLang="en-US" sz="9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일차</a:t>
          </a:r>
          <a:r>
            <a:rPr lang="en-US" altLang="ko-KR" sz="9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)</a:t>
          </a:r>
          <a:endParaRPr lang="ko-KR" altLang="en-US" sz="900" spc="-120" baseline="0">
            <a:latin typeface="나눔바른고딕OTF" panose="02020603020101020101" pitchFamily="18" charset="-127"/>
            <a:ea typeface="나눔바른고딕OTF" panose="02020603020101020101" pitchFamily="18" charset="-127"/>
          </a:endParaRPr>
        </a:p>
      </xdr:txBody>
    </xdr:sp>
    <xdr:clientData/>
  </xdr:twoCellAnchor>
  <xdr:twoCellAnchor>
    <xdr:from>
      <xdr:col>9</xdr:col>
      <xdr:colOff>182218</xdr:colOff>
      <xdr:row>2</xdr:row>
      <xdr:rowOff>41412</xdr:rowOff>
    </xdr:from>
    <xdr:to>
      <xdr:col>9</xdr:col>
      <xdr:colOff>1109871</xdr:colOff>
      <xdr:row>2</xdr:row>
      <xdr:rowOff>356151</xdr:rowOff>
    </xdr:to>
    <xdr:sp macro="" textlink="">
      <xdr:nvSpPr>
        <xdr:cNvPr id="7" name="모서리가 둥근 직사각형 6"/>
        <xdr:cNvSpPr/>
      </xdr:nvSpPr>
      <xdr:spPr>
        <a:xfrm>
          <a:off x="9765196" y="1027042"/>
          <a:ext cx="927653" cy="31473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 </a:t>
          </a:r>
          <a:r>
            <a:rPr lang="en-US" altLang="ko-KR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&lt; </a:t>
          </a:r>
          <a:r>
            <a:rPr lang="ko-KR" altLang="en-US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경영관리팀 </a:t>
          </a:r>
          <a:r>
            <a:rPr lang="en-US" altLang="ko-KR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&gt;</a:t>
          </a:r>
          <a:endParaRPr lang="ko-KR" altLang="en-US" sz="1000" spc="-120" baseline="0">
            <a:solidFill>
              <a:schemeClr val="bg1"/>
            </a:solidFill>
            <a:latin typeface="나눔바른고딕OTF Light" panose="02000303000000000000" pitchFamily="50" charset="-127"/>
            <a:ea typeface="나눔바른고딕OTF Light" panose="02000303000000000000" pitchFamily="50" charset="-127"/>
          </a:endParaRPr>
        </a:p>
      </xdr:txBody>
    </xdr:sp>
    <xdr:clientData/>
  </xdr:twoCellAnchor>
  <xdr:twoCellAnchor editAs="oneCell">
    <xdr:from>
      <xdr:col>2</xdr:col>
      <xdr:colOff>82826</xdr:colOff>
      <xdr:row>37</xdr:row>
      <xdr:rowOff>149087</xdr:rowOff>
    </xdr:from>
    <xdr:to>
      <xdr:col>2</xdr:col>
      <xdr:colOff>481976</xdr:colOff>
      <xdr:row>38</xdr:row>
      <xdr:rowOff>274665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1722783" y="12697239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2</xdr:col>
      <xdr:colOff>74543</xdr:colOff>
      <xdr:row>39</xdr:row>
      <xdr:rowOff>173935</xdr:rowOff>
    </xdr:from>
    <xdr:to>
      <xdr:col>2</xdr:col>
      <xdr:colOff>473693</xdr:colOff>
      <xdr:row>41</xdr:row>
      <xdr:rowOff>1339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1714500" y="13318435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8</xdr:col>
      <xdr:colOff>1101587</xdr:colOff>
      <xdr:row>60</xdr:row>
      <xdr:rowOff>49696</xdr:rowOff>
    </xdr:from>
    <xdr:to>
      <xdr:col>9</xdr:col>
      <xdr:colOff>366020</xdr:colOff>
      <xdr:row>61</xdr:row>
      <xdr:rowOff>224970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9549848" y="14999805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8</xdr:col>
      <xdr:colOff>1109870</xdr:colOff>
      <xdr:row>64</xdr:row>
      <xdr:rowOff>66261</xdr:rowOff>
    </xdr:from>
    <xdr:to>
      <xdr:col>9</xdr:col>
      <xdr:colOff>374303</xdr:colOff>
      <xdr:row>65</xdr:row>
      <xdr:rowOff>241535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9558131" y="16010283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8</xdr:col>
      <xdr:colOff>1093305</xdr:colOff>
      <xdr:row>68</xdr:row>
      <xdr:rowOff>74543</xdr:rowOff>
    </xdr:from>
    <xdr:to>
      <xdr:col>9</xdr:col>
      <xdr:colOff>357738</xdr:colOff>
      <xdr:row>70</xdr:row>
      <xdr:rowOff>1339</xdr:rowOff>
    </xdr:to>
    <xdr:pic>
      <xdr:nvPicPr>
        <xdr:cNvPr id="14" name="그림 1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9541566" y="17012478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8</xdr:col>
      <xdr:colOff>1035326</xdr:colOff>
      <xdr:row>37</xdr:row>
      <xdr:rowOff>115958</xdr:rowOff>
    </xdr:from>
    <xdr:to>
      <xdr:col>9</xdr:col>
      <xdr:colOff>299759</xdr:colOff>
      <xdr:row>38</xdr:row>
      <xdr:rowOff>241536</xdr:rowOff>
    </xdr:to>
    <xdr:pic>
      <xdr:nvPicPr>
        <xdr:cNvPr id="15" name="그림 1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9483587" y="12664110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8</xdr:col>
      <xdr:colOff>1043608</xdr:colOff>
      <xdr:row>39</xdr:row>
      <xdr:rowOff>99392</xdr:rowOff>
    </xdr:from>
    <xdr:to>
      <xdr:col>9</xdr:col>
      <xdr:colOff>308041</xdr:colOff>
      <xdr:row>40</xdr:row>
      <xdr:rowOff>224970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9491869" y="13243892"/>
          <a:ext cx="399150" cy="423752"/>
        </a:xfrm>
        <a:prstGeom prst="rect">
          <a:avLst/>
        </a:prstGeom>
      </xdr:spPr>
    </xdr:pic>
    <xdr:clientData/>
  </xdr:twoCellAnchor>
  <xdr:twoCellAnchor editAs="oneCell">
    <xdr:from>
      <xdr:col>2</xdr:col>
      <xdr:colOff>31887</xdr:colOff>
      <xdr:row>182</xdr:row>
      <xdr:rowOff>65019</xdr:rowOff>
    </xdr:from>
    <xdr:to>
      <xdr:col>2</xdr:col>
      <xdr:colOff>431037</xdr:colOff>
      <xdr:row>183</xdr:row>
      <xdr:rowOff>74415</xdr:rowOff>
    </xdr:to>
    <xdr:pic>
      <xdr:nvPicPr>
        <xdr:cNvPr id="17" name="그림 1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1889262" y="54528969"/>
          <a:ext cx="399150" cy="414889"/>
        </a:xfrm>
        <a:prstGeom prst="rect">
          <a:avLst/>
        </a:prstGeom>
      </xdr:spPr>
    </xdr:pic>
    <xdr:clientData/>
  </xdr:twoCellAnchor>
  <xdr:twoCellAnchor editAs="oneCell">
    <xdr:from>
      <xdr:col>2</xdr:col>
      <xdr:colOff>33129</xdr:colOff>
      <xdr:row>184</xdr:row>
      <xdr:rowOff>171036</xdr:rowOff>
    </xdr:from>
    <xdr:to>
      <xdr:col>2</xdr:col>
      <xdr:colOff>432279</xdr:colOff>
      <xdr:row>185</xdr:row>
      <xdr:rowOff>192135</xdr:rowOff>
    </xdr:to>
    <xdr:pic>
      <xdr:nvPicPr>
        <xdr:cNvPr id="18" name="그림 1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1890504" y="55225536"/>
          <a:ext cx="399150" cy="412984"/>
        </a:xfrm>
        <a:prstGeom prst="rect">
          <a:avLst/>
        </a:prstGeom>
      </xdr:spPr>
    </xdr:pic>
    <xdr:clientData/>
  </xdr:twoCellAnchor>
  <xdr:oneCellAnchor>
    <xdr:from>
      <xdr:col>2</xdr:col>
      <xdr:colOff>41412</xdr:colOff>
      <xdr:row>183</xdr:row>
      <xdr:rowOff>84069</xdr:rowOff>
    </xdr:from>
    <xdr:ext cx="399150" cy="416795"/>
    <xdr:pic>
      <xdr:nvPicPr>
        <xdr:cNvPr id="19" name="그림 1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9637" b="14188"/>
        <a:stretch/>
      </xdr:blipFill>
      <xdr:spPr>
        <a:xfrm>
          <a:off x="1898787" y="54757569"/>
          <a:ext cx="399150" cy="416795"/>
        </a:xfrm>
        <a:prstGeom prst="rect">
          <a:avLst/>
        </a:prstGeom>
      </xdr:spPr>
    </xdr:pic>
    <xdr:clientData/>
  </xdr:oneCellAnchor>
  <xdr:twoCellAnchor>
    <xdr:from>
      <xdr:col>8</xdr:col>
      <xdr:colOff>104775</xdr:colOff>
      <xdr:row>116</xdr:row>
      <xdr:rowOff>65181</xdr:rowOff>
    </xdr:from>
    <xdr:to>
      <xdr:col>9</xdr:col>
      <xdr:colOff>857250</xdr:colOff>
      <xdr:row>117</xdr:row>
      <xdr:rowOff>142875</xdr:rowOff>
    </xdr:to>
    <xdr:sp macro="" textlink="">
      <xdr:nvSpPr>
        <xdr:cNvPr id="20" name="TextBox 19"/>
        <xdr:cNvSpPr txBox="1"/>
      </xdr:nvSpPr>
      <xdr:spPr>
        <a:xfrm>
          <a:off x="8763000" y="30878556"/>
          <a:ext cx="1885950" cy="44916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spc="-120" baseline="0">
              <a:latin typeface="나눔바른고딕OTF" panose="02020603020101020101" pitchFamily="18" charset="-127"/>
              <a:ea typeface="나눔바른고딕OTF" panose="02020603020101020101" pitchFamily="18" charset="-127"/>
            </a:rPr>
            <a:t>마르지엘라 유사</a:t>
          </a:r>
        </a:p>
      </xdr:txBody>
    </xdr:sp>
    <xdr:clientData/>
  </xdr:twoCellAnchor>
  <xdr:twoCellAnchor>
    <xdr:from>
      <xdr:col>2</xdr:col>
      <xdr:colOff>16565</xdr:colOff>
      <xdr:row>165</xdr:row>
      <xdr:rowOff>0</xdr:rowOff>
    </xdr:from>
    <xdr:to>
      <xdr:col>2</xdr:col>
      <xdr:colOff>326572</xdr:colOff>
      <xdr:row>166</xdr:row>
      <xdr:rowOff>51955</xdr:rowOff>
    </xdr:to>
    <xdr:sp macro="" textlink="">
      <xdr:nvSpPr>
        <xdr:cNvPr id="8" name="직사각형 7"/>
        <xdr:cNvSpPr/>
      </xdr:nvSpPr>
      <xdr:spPr>
        <a:xfrm>
          <a:off x="1867136" y="51462214"/>
          <a:ext cx="310007" cy="5249884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126074</xdr:colOff>
      <xdr:row>165</xdr:row>
      <xdr:rowOff>4701861</xdr:rowOff>
    </xdr:from>
    <xdr:to>
      <xdr:col>1</xdr:col>
      <xdr:colOff>1020595</xdr:colOff>
      <xdr:row>165</xdr:row>
      <xdr:rowOff>5058013</xdr:rowOff>
    </xdr:to>
    <xdr:sp macro="" textlink="">
      <xdr:nvSpPr>
        <xdr:cNvPr id="21" name="직사각형 20"/>
        <xdr:cNvSpPr/>
      </xdr:nvSpPr>
      <xdr:spPr>
        <a:xfrm>
          <a:off x="847253" y="56164075"/>
          <a:ext cx="894521" cy="35615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chemeClr val="accent2">
              <a:lumMod val="60000"/>
              <a:lumOff val="4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spc="-120" baseline="0">
              <a:solidFill>
                <a:sysClr val="windowText" lastClr="000000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경과추세</a:t>
          </a:r>
        </a:p>
      </xdr:txBody>
    </xdr:sp>
    <xdr:clientData/>
  </xdr:twoCellAnchor>
  <xdr:twoCellAnchor>
    <xdr:from>
      <xdr:col>3</xdr:col>
      <xdr:colOff>24847</xdr:colOff>
      <xdr:row>164</xdr:row>
      <xdr:rowOff>3134589</xdr:rowOff>
    </xdr:from>
    <xdr:to>
      <xdr:col>3</xdr:col>
      <xdr:colOff>581025</xdr:colOff>
      <xdr:row>166</xdr:row>
      <xdr:rowOff>34636</xdr:rowOff>
    </xdr:to>
    <xdr:sp macro="" textlink="">
      <xdr:nvSpPr>
        <xdr:cNvPr id="22" name="직사각형 21"/>
        <xdr:cNvSpPr/>
      </xdr:nvSpPr>
      <xdr:spPr>
        <a:xfrm>
          <a:off x="3003574" y="51383044"/>
          <a:ext cx="556178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8283</xdr:colOff>
      <xdr:row>164</xdr:row>
      <xdr:rowOff>3134589</xdr:rowOff>
    </xdr:from>
    <xdr:to>
      <xdr:col>4</xdr:col>
      <xdr:colOff>504825</xdr:colOff>
      <xdr:row>166</xdr:row>
      <xdr:rowOff>34636</xdr:rowOff>
    </xdr:to>
    <xdr:sp macro="" textlink="">
      <xdr:nvSpPr>
        <xdr:cNvPr id="23" name="직사각형 22"/>
        <xdr:cNvSpPr/>
      </xdr:nvSpPr>
      <xdr:spPr>
        <a:xfrm>
          <a:off x="4112692" y="51383044"/>
          <a:ext cx="496542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8282</xdr:colOff>
      <xdr:row>164</xdr:row>
      <xdr:rowOff>3134589</xdr:rowOff>
    </xdr:from>
    <xdr:to>
      <xdr:col>5</xdr:col>
      <xdr:colOff>476250</xdr:colOff>
      <xdr:row>166</xdr:row>
      <xdr:rowOff>34636</xdr:rowOff>
    </xdr:to>
    <xdr:sp macro="" textlink="">
      <xdr:nvSpPr>
        <xdr:cNvPr id="24" name="직사각형 23"/>
        <xdr:cNvSpPr/>
      </xdr:nvSpPr>
      <xdr:spPr>
        <a:xfrm>
          <a:off x="5238373" y="51383044"/>
          <a:ext cx="467968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8282</xdr:colOff>
      <xdr:row>164</xdr:row>
      <xdr:rowOff>3134589</xdr:rowOff>
    </xdr:from>
    <xdr:to>
      <xdr:col>6</xdr:col>
      <xdr:colOff>466725</xdr:colOff>
      <xdr:row>166</xdr:row>
      <xdr:rowOff>34636</xdr:rowOff>
    </xdr:to>
    <xdr:sp macro="" textlink="">
      <xdr:nvSpPr>
        <xdr:cNvPr id="25" name="직사각형 24"/>
        <xdr:cNvSpPr/>
      </xdr:nvSpPr>
      <xdr:spPr>
        <a:xfrm>
          <a:off x="6364055" y="51383044"/>
          <a:ext cx="458443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24846</xdr:colOff>
      <xdr:row>164</xdr:row>
      <xdr:rowOff>3134589</xdr:rowOff>
    </xdr:from>
    <xdr:to>
      <xdr:col>7</xdr:col>
      <xdr:colOff>533399</xdr:colOff>
      <xdr:row>166</xdr:row>
      <xdr:rowOff>34636</xdr:rowOff>
    </xdr:to>
    <xdr:sp macro="" textlink="">
      <xdr:nvSpPr>
        <xdr:cNvPr id="26" name="직사각형 25"/>
        <xdr:cNvSpPr/>
      </xdr:nvSpPr>
      <xdr:spPr>
        <a:xfrm>
          <a:off x="7506301" y="51383044"/>
          <a:ext cx="508553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24847</xdr:colOff>
      <xdr:row>164</xdr:row>
      <xdr:rowOff>3134589</xdr:rowOff>
    </xdr:from>
    <xdr:to>
      <xdr:col>8</xdr:col>
      <xdr:colOff>422413</xdr:colOff>
      <xdr:row>166</xdr:row>
      <xdr:rowOff>34636</xdr:rowOff>
    </xdr:to>
    <xdr:sp macro="" textlink="">
      <xdr:nvSpPr>
        <xdr:cNvPr id="27" name="직사각형 26"/>
        <xdr:cNvSpPr/>
      </xdr:nvSpPr>
      <xdr:spPr>
        <a:xfrm>
          <a:off x="8631983" y="51383044"/>
          <a:ext cx="397566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16564</xdr:colOff>
      <xdr:row>164</xdr:row>
      <xdr:rowOff>3134589</xdr:rowOff>
    </xdr:from>
    <xdr:to>
      <xdr:col>9</xdr:col>
      <xdr:colOff>495300</xdr:colOff>
      <xdr:row>166</xdr:row>
      <xdr:rowOff>34636</xdr:rowOff>
    </xdr:to>
    <xdr:sp macro="" textlink="">
      <xdr:nvSpPr>
        <xdr:cNvPr id="28" name="직사각형 27"/>
        <xdr:cNvSpPr/>
      </xdr:nvSpPr>
      <xdr:spPr>
        <a:xfrm>
          <a:off x="9749382" y="51383044"/>
          <a:ext cx="478736" cy="5230092"/>
        </a:xfrm>
        <a:prstGeom prst="rect">
          <a:avLst/>
        </a:prstGeom>
        <a:solidFill>
          <a:srgbClr val="F2ACC0">
            <a:alpha val="50196"/>
          </a:srgbClr>
        </a:solidFill>
        <a:ln>
          <a:solidFill>
            <a:srgbClr val="EF899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244290</xdr:colOff>
      <xdr:row>2</xdr:row>
      <xdr:rowOff>114593</xdr:rowOff>
    </xdr:from>
    <xdr:to>
      <xdr:col>19</xdr:col>
      <xdr:colOff>571308</xdr:colOff>
      <xdr:row>2</xdr:row>
      <xdr:rowOff>345512</xdr:rowOff>
    </xdr:to>
    <xdr:sp macro="" textlink="">
      <xdr:nvSpPr>
        <xdr:cNvPr id="3" name="모서리가 둥근 직사각형 2"/>
        <xdr:cNvSpPr/>
      </xdr:nvSpPr>
      <xdr:spPr>
        <a:xfrm>
          <a:off x="11396384" y="1199322"/>
          <a:ext cx="927653" cy="23091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 </a:t>
          </a:r>
          <a:r>
            <a:rPr lang="en-US" altLang="ko-KR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&lt; </a:t>
          </a:r>
          <a:r>
            <a:rPr lang="ko-KR" altLang="en-US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경영관리팀 </a:t>
          </a:r>
          <a:r>
            <a:rPr lang="en-US" altLang="ko-KR" sz="1000" spc="-120" baseline="0">
              <a:solidFill>
                <a:schemeClr val="bg1"/>
              </a:solidFill>
              <a:latin typeface="나눔바른고딕OTF Light" panose="02000303000000000000" pitchFamily="50" charset="-127"/>
              <a:ea typeface="나눔바른고딕OTF Light" panose="02000303000000000000" pitchFamily="50" charset="-127"/>
            </a:rPr>
            <a:t>&gt;</a:t>
          </a:r>
          <a:endParaRPr lang="ko-KR" altLang="en-US" sz="1000" spc="-120" baseline="0">
            <a:solidFill>
              <a:schemeClr val="bg1"/>
            </a:solidFill>
            <a:latin typeface="나눔바른고딕OTF Light" panose="02000303000000000000" pitchFamily="50" charset="-127"/>
            <a:ea typeface="나눔바른고딕OTF Light" panose="02000303000000000000" pitchFamily="50" charset="-127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9</xdr:row>
      <xdr:rowOff>33337</xdr:rowOff>
    </xdr:from>
    <xdr:to>
      <xdr:col>18</xdr:col>
      <xdr:colOff>180975</xdr:colOff>
      <xdr:row>15</xdr:row>
      <xdr:rowOff>147637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221;&#50689;&#44288;&#47532;&#54016;\17.%20&#51648;&#49884;&#49324;&#54637;\&#48652;&#47004;&#46300;&#54016;%20&#51452;&#44036;&#50629;&#47924;\&#51452;&#44036;&#50629;&#47924;&#44228;&#5492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시일자별관람객"/>
      <sheetName val="주간업무회의"/>
    </sheetNames>
    <sheetDataSet>
      <sheetData sheetId="0">
        <row r="4">
          <cell r="A4">
            <v>2020</v>
          </cell>
          <cell r="C4" t="str">
            <v>2020-10-08</v>
          </cell>
          <cell r="L4">
            <v>899</v>
          </cell>
        </row>
        <row r="5">
          <cell r="C5" t="str">
            <v>2020-10-09</v>
          </cell>
          <cell r="L5">
            <v>1682</v>
          </cell>
        </row>
        <row r="6">
          <cell r="C6" t="str">
            <v>2020-10-10</v>
          </cell>
          <cell r="L6">
            <v>1564</v>
          </cell>
        </row>
        <row r="7">
          <cell r="C7" t="str">
            <v>2020-10-11</v>
          </cell>
          <cell r="L7">
            <v>1409</v>
          </cell>
        </row>
        <row r="8">
          <cell r="C8" t="str">
            <v>2020-10-12</v>
          </cell>
          <cell r="L8">
            <v>614</v>
          </cell>
        </row>
        <row r="9">
          <cell r="C9" t="str">
            <v>2020-10-13</v>
          </cell>
          <cell r="L9">
            <v>614</v>
          </cell>
        </row>
        <row r="10">
          <cell r="C10" t="str">
            <v>2020-10-14</v>
          </cell>
          <cell r="L10">
            <v>727</v>
          </cell>
        </row>
        <row r="11">
          <cell r="C11" t="str">
            <v>2020-10-15</v>
          </cell>
          <cell r="L11">
            <v>630</v>
          </cell>
        </row>
        <row r="12">
          <cell r="C12" t="str">
            <v>2020-10-16</v>
          </cell>
          <cell r="L12">
            <v>659</v>
          </cell>
        </row>
        <row r="13">
          <cell r="C13">
            <v>44121</v>
          </cell>
          <cell r="L13">
            <v>1752</v>
          </cell>
        </row>
        <row r="14">
          <cell r="C14">
            <v>44122</v>
          </cell>
          <cell r="L14">
            <v>1355</v>
          </cell>
        </row>
        <row r="15">
          <cell r="C15">
            <v>44123</v>
          </cell>
          <cell r="L15">
            <v>540</v>
          </cell>
        </row>
        <row r="16">
          <cell r="C16">
            <v>44124</v>
          </cell>
          <cell r="L16">
            <v>547</v>
          </cell>
        </row>
        <row r="17">
          <cell r="C17" t="str">
            <v>2020-10-21</v>
          </cell>
          <cell r="L17">
            <v>572</v>
          </cell>
        </row>
        <row r="18">
          <cell r="C18" t="str">
            <v>2020-10-22</v>
          </cell>
          <cell r="L18">
            <v>450</v>
          </cell>
        </row>
        <row r="19">
          <cell r="C19" t="str">
            <v>2020-10-23</v>
          </cell>
          <cell r="L19">
            <v>676</v>
          </cell>
        </row>
        <row r="20">
          <cell r="C20" t="str">
            <v>2020-10-24</v>
          </cell>
          <cell r="L20">
            <v>1741</v>
          </cell>
        </row>
        <row r="21">
          <cell r="C21" t="str">
            <v>2020-10-25</v>
          </cell>
          <cell r="L21">
            <v>1210</v>
          </cell>
        </row>
        <row r="22">
          <cell r="C22" t="str">
            <v>2020-10-26</v>
          </cell>
          <cell r="L22">
            <v>649</v>
          </cell>
        </row>
        <row r="23">
          <cell r="C23" t="str">
            <v>2020-10-27</v>
          </cell>
          <cell r="L23">
            <v>491</v>
          </cell>
        </row>
        <row r="24">
          <cell r="C24" t="str">
            <v>2020-10-28</v>
          </cell>
          <cell r="L24">
            <v>694</v>
          </cell>
        </row>
        <row r="25">
          <cell r="C25" t="str">
            <v>2020-10-29</v>
          </cell>
          <cell r="L25">
            <v>558</v>
          </cell>
        </row>
        <row r="26">
          <cell r="C26" t="str">
            <v>2020-10-30</v>
          </cell>
          <cell r="L26">
            <v>765</v>
          </cell>
        </row>
        <row r="27">
          <cell r="C27" t="str">
            <v>2020-10-31</v>
          </cell>
          <cell r="L27">
            <v>1617</v>
          </cell>
        </row>
        <row r="28">
          <cell r="C28" t="str">
            <v>2020-11-01</v>
          </cell>
          <cell r="L28">
            <v>1241</v>
          </cell>
        </row>
        <row r="29">
          <cell r="C29" t="str">
            <v>2020-11-02</v>
          </cell>
          <cell r="L29">
            <v>480</v>
          </cell>
        </row>
        <row r="30">
          <cell r="C30" t="str">
            <v>2020-11-03</v>
          </cell>
          <cell r="L30">
            <v>566</v>
          </cell>
        </row>
        <row r="31">
          <cell r="C31" t="str">
            <v>2020-11-04</v>
          </cell>
          <cell r="L31">
            <v>616</v>
          </cell>
        </row>
        <row r="32">
          <cell r="C32" t="str">
            <v>2020-11-05</v>
          </cell>
          <cell r="L32">
            <v>549</v>
          </cell>
        </row>
        <row r="33">
          <cell r="C33" t="str">
            <v>2020-11-06</v>
          </cell>
          <cell r="L33">
            <v>740</v>
          </cell>
        </row>
        <row r="34">
          <cell r="C34" t="str">
            <v>2020-11-07</v>
          </cell>
          <cell r="L34">
            <v>1556</v>
          </cell>
        </row>
        <row r="35">
          <cell r="C35" t="str">
            <v>2020-11-08</v>
          </cell>
          <cell r="L35">
            <v>1267</v>
          </cell>
        </row>
        <row r="36">
          <cell r="C36" t="str">
            <v>2020-11-09</v>
          </cell>
          <cell r="L36">
            <v>719</v>
          </cell>
        </row>
        <row r="37">
          <cell r="C37" t="str">
            <v>2020-11-10</v>
          </cell>
          <cell r="L37">
            <v>500</v>
          </cell>
        </row>
        <row r="38">
          <cell r="C38" t="str">
            <v>2020-11-11</v>
          </cell>
          <cell r="L38">
            <v>715</v>
          </cell>
        </row>
        <row r="39">
          <cell r="C39" t="str">
            <v>2020-11-12</v>
          </cell>
          <cell r="L39">
            <v>606</v>
          </cell>
        </row>
        <row r="40">
          <cell r="C40" t="str">
            <v>2020-11-13</v>
          </cell>
          <cell r="L40">
            <v>985</v>
          </cell>
        </row>
        <row r="41">
          <cell r="C41" t="str">
            <v>2020-11-14</v>
          </cell>
          <cell r="L41">
            <v>1776</v>
          </cell>
        </row>
        <row r="42">
          <cell r="C42" t="str">
            <v>2020-11-15</v>
          </cell>
          <cell r="L42">
            <v>1300</v>
          </cell>
        </row>
        <row r="43">
          <cell r="C43" t="str">
            <v>2020-11-16</v>
          </cell>
          <cell r="L43">
            <v>617</v>
          </cell>
        </row>
        <row r="44">
          <cell r="C44" t="str">
            <v>2020-11-17</v>
          </cell>
          <cell r="L44">
            <v>579</v>
          </cell>
        </row>
        <row r="45">
          <cell r="C45" t="str">
            <v>2020-11-18</v>
          </cell>
          <cell r="L45">
            <v>697</v>
          </cell>
        </row>
        <row r="46">
          <cell r="C46" t="str">
            <v>2020-11-19</v>
          </cell>
          <cell r="L46">
            <v>561</v>
          </cell>
        </row>
        <row r="47">
          <cell r="C47" t="str">
            <v>2020-11-20</v>
          </cell>
          <cell r="L47">
            <v>755</v>
          </cell>
        </row>
        <row r="48">
          <cell r="C48" t="str">
            <v>2020-11-21</v>
          </cell>
          <cell r="L48">
            <v>1461</v>
          </cell>
        </row>
        <row r="49">
          <cell r="C49" t="str">
            <v>2020-11-22</v>
          </cell>
          <cell r="L49">
            <v>989</v>
          </cell>
        </row>
        <row r="50">
          <cell r="C50" t="str">
            <v>2020-11-23</v>
          </cell>
          <cell r="L50">
            <v>512</v>
          </cell>
        </row>
        <row r="51">
          <cell r="C51" t="str">
            <v>2020-11-24</v>
          </cell>
          <cell r="L51">
            <v>435</v>
          </cell>
        </row>
        <row r="52">
          <cell r="C52" t="str">
            <v>2020-11-25</v>
          </cell>
          <cell r="L52">
            <v>435</v>
          </cell>
        </row>
        <row r="53">
          <cell r="C53" t="str">
            <v>2020-11-26</v>
          </cell>
          <cell r="L53">
            <v>374</v>
          </cell>
        </row>
        <row r="54">
          <cell r="C54" t="str">
            <v>2020-11-27</v>
          </cell>
          <cell r="L54">
            <v>410</v>
          </cell>
        </row>
        <row r="55">
          <cell r="C55" t="str">
            <v>2020-11-28</v>
          </cell>
          <cell r="L55">
            <v>764</v>
          </cell>
        </row>
        <row r="56">
          <cell r="C56" t="str">
            <v>2020-11-29</v>
          </cell>
          <cell r="L56">
            <v>650</v>
          </cell>
        </row>
        <row r="57">
          <cell r="C57" t="str">
            <v>2020-11-30</v>
          </cell>
          <cell r="L57">
            <v>346</v>
          </cell>
        </row>
        <row r="58">
          <cell r="C58" t="str">
            <v>2020-12-01</v>
          </cell>
          <cell r="L58">
            <v>240</v>
          </cell>
        </row>
        <row r="59">
          <cell r="C59" t="str">
            <v>2020-12-02</v>
          </cell>
          <cell r="L59">
            <v>221</v>
          </cell>
        </row>
        <row r="60">
          <cell r="C60" t="str">
            <v>2020-12-03</v>
          </cell>
          <cell r="L60">
            <v>301</v>
          </cell>
        </row>
        <row r="61">
          <cell r="C61" t="str">
            <v>2020-12-04</v>
          </cell>
          <cell r="L61">
            <v>383</v>
          </cell>
        </row>
        <row r="62">
          <cell r="C62" t="str">
            <v>2020-12-05</v>
          </cell>
          <cell r="L62">
            <v>534</v>
          </cell>
        </row>
        <row r="63">
          <cell r="C63" t="str">
            <v>2020-12-06</v>
          </cell>
          <cell r="L63">
            <v>412</v>
          </cell>
        </row>
        <row r="64">
          <cell r="C64" t="str">
            <v>2020-12-07</v>
          </cell>
          <cell r="L64">
            <v>217</v>
          </cell>
        </row>
        <row r="65">
          <cell r="C65" t="str">
            <v>2020-12-08</v>
          </cell>
          <cell r="L65">
            <v>167</v>
          </cell>
        </row>
        <row r="66">
          <cell r="C66" t="str">
            <v>2020-12-09</v>
          </cell>
          <cell r="L66">
            <v>187</v>
          </cell>
        </row>
        <row r="67">
          <cell r="C67" t="str">
            <v>2020-12-10</v>
          </cell>
          <cell r="L67">
            <v>180</v>
          </cell>
        </row>
        <row r="68">
          <cell r="C68" t="str">
            <v>2020-12-11</v>
          </cell>
          <cell r="L68">
            <v>246</v>
          </cell>
        </row>
        <row r="69">
          <cell r="C69" t="str">
            <v>2020-12-12</v>
          </cell>
          <cell r="L69">
            <v>439</v>
          </cell>
        </row>
        <row r="70">
          <cell r="C70" t="str">
            <v>2020-12-13</v>
          </cell>
          <cell r="L70">
            <v>248</v>
          </cell>
        </row>
        <row r="71">
          <cell r="C71" t="str">
            <v>2020-12-14</v>
          </cell>
          <cell r="L71">
            <v>151</v>
          </cell>
        </row>
        <row r="72">
          <cell r="C72" t="str">
            <v>2020-12-15</v>
          </cell>
          <cell r="L72">
            <v>173</v>
          </cell>
        </row>
        <row r="73">
          <cell r="C73" t="str">
            <v>2020-12-16</v>
          </cell>
          <cell r="L73">
            <v>129</v>
          </cell>
        </row>
        <row r="74">
          <cell r="C74" t="str">
            <v>2020-12-17</v>
          </cell>
          <cell r="L74">
            <v>156</v>
          </cell>
        </row>
        <row r="75">
          <cell r="C75" t="str">
            <v>2020-12-18</v>
          </cell>
          <cell r="L75">
            <v>211</v>
          </cell>
        </row>
        <row r="76">
          <cell r="C76" t="str">
            <v>2020-12-19</v>
          </cell>
          <cell r="L76">
            <v>278</v>
          </cell>
        </row>
        <row r="77">
          <cell r="C77" t="str">
            <v>2020-12-20</v>
          </cell>
          <cell r="L77">
            <v>291</v>
          </cell>
        </row>
        <row r="78">
          <cell r="C78" t="str">
            <v>2020-12-21</v>
          </cell>
          <cell r="L78">
            <v>195</v>
          </cell>
        </row>
        <row r="79">
          <cell r="C79" t="str">
            <v>2020-12-22</v>
          </cell>
          <cell r="L79">
            <v>172</v>
          </cell>
        </row>
        <row r="80">
          <cell r="C80" t="str">
            <v>2020-12-23</v>
          </cell>
          <cell r="L80">
            <v>164</v>
          </cell>
        </row>
        <row r="81">
          <cell r="C81" t="str">
            <v>2020-12-24</v>
          </cell>
          <cell r="L81">
            <v>247</v>
          </cell>
        </row>
        <row r="82">
          <cell r="C82" t="str">
            <v>2020-12-25</v>
          </cell>
          <cell r="L82">
            <v>415</v>
          </cell>
        </row>
        <row r="83">
          <cell r="C83" t="str">
            <v>2020-12-26</v>
          </cell>
          <cell r="L83">
            <v>250</v>
          </cell>
        </row>
        <row r="84">
          <cell r="C84" t="str">
            <v>2020-12-27</v>
          </cell>
          <cell r="L84">
            <v>263</v>
          </cell>
        </row>
        <row r="85">
          <cell r="C85" t="str">
            <v>2020-12-28</v>
          </cell>
          <cell r="L85">
            <v>219</v>
          </cell>
        </row>
        <row r="86">
          <cell r="C86" t="str">
            <v>2020-12-29</v>
          </cell>
          <cell r="L86">
            <v>252</v>
          </cell>
        </row>
        <row r="87">
          <cell r="C87" t="str">
            <v>2020-12-30</v>
          </cell>
          <cell r="L87">
            <v>278</v>
          </cell>
        </row>
        <row r="88">
          <cell r="C88" t="str">
            <v>2020-12-31</v>
          </cell>
          <cell r="L88">
            <v>293</v>
          </cell>
        </row>
        <row r="89">
          <cell r="C89" t="str">
            <v>2021-01-01</v>
          </cell>
        </row>
        <row r="90">
          <cell r="C90" t="str">
            <v>2021-01-02</v>
          </cell>
          <cell r="L90">
            <v>563</v>
          </cell>
        </row>
        <row r="91">
          <cell r="C91" t="str">
            <v>2021-01-03</v>
          </cell>
          <cell r="L91">
            <v>427</v>
          </cell>
        </row>
        <row r="92">
          <cell r="C92" t="str">
            <v>2021-01-04</v>
          </cell>
          <cell r="L92">
            <v>158</v>
          </cell>
        </row>
        <row r="93">
          <cell r="C93" t="str">
            <v>2021-01-05</v>
          </cell>
          <cell r="L93">
            <v>176</v>
          </cell>
        </row>
        <row r="94">
          <cell r="C94" t="str">
            <v>2021-01-06</v>
          </cell>
          <cell r="L94">
            <v>178</v>
          </cell>
        </row>
        <row r="95">
          <cell r="C95" t="str">
            <v>2021-01-07</v>
          </cell>
          <cell r="L95">
            <v>169</v>
          </cell>
        </row>
        <row r="96">
          <cell r="C96" t="str">
            <v>2021-01-08</v>
          </cell>
          <cell r="L96">
            <v>220</v>
          </cell>
        </row>
        <row r="97">
          <cell r="C97" t="str">
            <v>2021-01-09</v>
          </cell>
          <cell r="L97">
            <v>676</v>
          </cell>
        </row>
        <row r="98">
          <cell r="C98" t="str">
            <v>2021-01-10</v>
          </cell>
          <cell r="L98">
            <v>588</v>
          </cell>
        </row>
        <row r="99">
          <cell r="C99" t="str">
            <v>2021-01-11</v>
          </cell>
          <cell r="L99">
            <v>268</v>
          </cell>
        </row>
        <row r="100">
          <cell r="C100" t="str">
            <v>2021-01-12</v>
          </cell>
          <cell r="L100">
            <v>300</v>
          </cell>
        </row>
        <row r="101">
          <cell r="C101" t="str">
            <v>2021-01-13</v>
          </cell>
          <cell r="L101">
            <v>289</v>
          </cell>
        </row>
        <row r="102">
          <cell r="C102" t="str">
            <v>2021-01-14</v>
          </cell>
          <cell r="L102">
            <v>409</v>
          </cell>
        </row>
        <row r="103">
          <cell r="C103" t="str">
            <v>2021-01-15</v>
          </cell>
          <cell r="L103">
            <v>399</v>
          </cell>
        </row>
        <row r="104">
          <cell r="C104" t="str">
            <v>2021-01-16</v>
          </cell>
          <cell r="L104">
            <v>1151</v>
          </cell>
        </row>
        <row r="105">
          <cell r="C105" t="str">
            <v>2021-01-17</v>
          </cell>
          <cell r="L105">
            <v>834</v>
          </cell>
        </row>
        <row r="106">
          <cell r="C106" t="str">
            <v>2021-01-18</v>
          </cell>
          <cell r="L106">
            <v>293</v>
          </cell>
        </row>
        <row r="107">
          <cell r="C107" t="str">
            <v>2021-01-19</v>
          </cell>
          <cell r="L107">
            <v>420</v>
          </cell>
        </row>
        <row r="108">
          <cell r="C108" t="str">
            <v>2021-01-20</v>
          </cell>
          <cell r="L108">
            <v>527</v>
          </cell>
        </row>
        <row r="109">
          <cell r="C109" t="str">
            <v>2021-01-21</v>
          </cell>
          <cell r="L109">
            <v>473</v>
          </cell>
        </row>
        <row r="110">
          <cell r="C110" t="str">
            <v>2021-01-22</v>
          </cell>
          <cell r="L110">
            <v>712</v>
          </cell>
        </row>
        <row r="111">
          <cell r="C111" t="str">
            <v>2021-01-23</v>
          </cell>
          <cell r="L111">
            <v>1369</v>
          </cell>
        </row>
        <row r="112">
          <cell r="C112" t="str">
            <v>2021-01-24</v>
          </cell>
          <cell r="L112">
            <v>1223</v>
          </cell>
        </row>
        <row r="113">
          <cell r="C113" t="str">
            <v>2021-01-25</v>
          </cell>
          <cell r="L113">
            <v>751</v>
          </cell>
        </row>
        <row r="114">
          <cell r="C114" t="str">
            <v>2021-01-26</v>
          </cell>
          <cell r="L114">
            <v>690</v>
          </cell>
        </row>
        <row r="115">
          <cell r="C115" t="str">
            <v>2021-01-27</v>
          </cell>
          <cell r="L115">
            <v>960</v>
          </cell>
        </row>
        <row r="116">
          <cell r="C116" t="str">
            <v>2021-01-28</v>
          </cell>
          <cell r="L116">
            <v>637</v>
          </cell>
        </row>
        <row r="117">
          <cell r="C117" t="str">
            <v>2021-01-29</v>
          </cell>
          <cell r="L117">
            <v>965</v>
          </cell>
        </row>
        <row r="118">
          <cell r="C118" t="str">
            <v>2021-01-30</v>
          </cell>
          <cell r="L118">
            <v>1879</v>
          </cell>
        </row>
        <row r="119">
          <cell r="C119" t="str">
            <v>2021-01-31</v>
          </cell>
          <cell r="L119">
            <v>1832</v>
          </cell>
        </row>
        <row r="120">
          <cell r="C120" t="str">
            <v>2021-02-01</v>
          </cell>
          <cell r="L120">
            <v>1042</v>
          </cell>
        </row>
        <row r="121">
          <cell r="C121" t="str">
            <v>2021-02-02</v>
          </cell>
          <cell r="L121">
            <v>1091</v>
          </cell>
        </row>
        <row r="122">
          <cell r="C122" t="str">
            <v>2021-02-03</v>
          </cell>
          <cell r="L122">
            <v>1156</v>
          </cell>
        </row>
        <row r="123">
          <cell r="C123" t="str">
            <v>2021-02-04</v>
          </cell>
          <cell r="L123">
            <v>1170</v>
          </cell>
        </row>
        <row r="124">
          <cell r="C124" t="str">
            <v>2021-02-05</v>
          </cell>
          <cell r="L124">
            <v>1393</v>
          </cell>
        </row>
        <row r="125">
          <cell r="C125" t="str">
            <v>2021-02-06</v>
          </cell>
          <cell r="L125">
            <v>2534</v>
          </cell>
        </row>
        <row r="126">
          <cell r="C126" t="str">
            <v>2021-02-07</v>
          </cell>
          <cell r="L126">
            <v>2391</v>
          </cell>
        </row>
        <row r="127">
          <cell r="C127" t="str">
            <v>2021-02-08</v>
          </cell>
          <cell r="L127">
            <v>642</v>
          </cell>
        </row>
        <row r="128">
          <cell r="C128" t="str">
            <v>2021-02-09</v>
          </cell>
          <cell r="L128">
            <v>694</v>
          </cell>
        </row>
        <row r="129">
          <cell r="C129" t="str">
            <v>2021-02-10</v>
          </cell>
          <cell r="L129">
            <v>783</v>
          </cell>
        </row>
        <row r="130">
          <cell r="C130">
            <v>44238</v>
          </cell>
        </row>
        <row r="131">
          <cell r="C131">
            <v>44239</v>
          </cell>
        </row>
        <row r="132">
          <cell r="C132">
            <v>44240</v>
          </cell>
        </row>
        <row r="133">
          <cell r="C133">
            <v>44241</v>
          </cell>
        </row>
        <row r="134">
          <cell r="C134">
            <v>44242</v>
          </cell>
        </row>
        <row r="135">
          <cell r="C135">
            <v>44243</v>
          </cell>
        </row>
        <row r="136">
          <cell r="C136">
            <v>44244</v>
          </cell>
        </row>
        <row r="137">
          <cell r="C137">
            <v>44245</v>
          </cell>
        </row>
        <row r="138">
          <cell r="C138">
            <v>44246</v>
          </cell>
        </row>
        <row r="139">
          <cell r="C139">
            <v>44247</v>
          </cell>
        </row>
        <row r="140">
          <cell r="C140">
            <v>44248</v>
          </cell>
        </row>
        <row r="141">
          <cell r="C141">
            <v>44249</v>
          </cell>
        </row>
        <row r="142">
          <cell r="C142">
            <v>44250</v>
          </cell>
        </row>
        <row r="143">
          <cell r="C143">
            <v>44251</v>
          </cell>
        </row>
        <row r="144">
          <cell r="C144">
            <v>44252</v>
          </cell>
        </row>
        <row r="145">
          <cell r="C145">
            <v>44253</v>
          </cell>
        </row>
        <row r="146">
          <cell r="C146">
            <v>44254</v>
          </cell>
        </row>
        <row r="147">
          <cell r="C147">
            <v>44255</v>
          </cell>
        </row>
        <row r="148">
          <cell r="C148">
            <v>44256</v>
          </cell>
        </row>
        <row r="149">
          <cell r="C149">
            <v>44257</v>
          </cell>
        </row>
        <row r="150">
          <cell r="C150">
            <v>44258</v>
          </cell>
        </row>
        <row r="151">
          <cell r="C151">
            <v>44259</v>
          </cell>
        </row>
        <row r="152">
          <cell r="C152">
            <v>44260</v>
          </cell>
        </row>
        <row r="153">
          <cell r="C153">
            <v>44261</v>
          </cell>
        </row>
        <row r="154">
          <cell r="C154">
            <v>44262</v>
          </cell>
        </row>
        <row r="155">
          <cell r="C155">
            <v>44263</v>
          </cell>
        </row>
        <row r="156">
          <cell r="C156">
            <v>44264</v>
          </cell>
        </row>
        <row r="157">
          <cell r="C157">
            <v>44265</v>
          </cell>
        </row>
        <row r="158">
          <cell r="C158">
            <v>44266</v>
          </cell>
        </row>
        <row r="159">
          <cell r="C159">
            <v>44267</v>
          </cell>
        </row>
        <row r="160">
          <cell r="C160">
            <v>44268</v>
          </cell>
        </row>
        <row r="161">
          <cell r="C161">
            <v>44269</v>
          </cell>
        </row>
        <row r="162">
          <cell r="C162">
            <v>44270</v>
          </cell>
        </row>
        <row r="163">
          <cell r="C163">
            <v>44271</v>
          </cell>
        </row>
        <row r="164">
          <cell r="C164">
            <v>44272</v>
          </cell>
        </row>
        <row r="165">
          <cell r="C165">
            <v>44273</v>
          </cell>
        </row>
        <row r="166">
          <cell r="C166">
            <v>44274</v>
          </cell>
        </row>
        <row r="167">
          <cell r="C167">
            <v>44275</v>
          </cell>
        </row>
        <row r="168">
          <cell r="C168">
            <v>44276</v>
          </cell>
        </row>
        <row r="169">
          <cell r="C169">
            <v>44277</v>
          </cell>
        </row>
        <row r="170">
          <cell r="C170">
            <v>44278</v>
          </cell>
        </row>
        <row r="171">
          <cell r="C171">
            <v>44279</v>
          </cell>
        </row>
        <row r="172">
          <cell r="C172">
            <v>44280</v>
          </cell>
        </row>
        <row r="173">
          <cell r="C173">
            <v>44281</v>
          </cell>
        </row>
        <row r="174">
          <cell r="C174">
            <v>44282</v>
          </cell>
        </row>
        <row r="175">
          <cell r="C175">
            <v>44283</v>
          </cell>
        </row>
        <row r="176">
          <cell r="C176">
            <v>44284</v>
          </cell>
        </row>
        <row r="177">
          <cell r="C177">
            <v>44285</v>
          </cell>
        </row>
        <row r="178">
          <cell r="C178">
            <v>44286</v>
          </cell>
        </row>
        <row r="179">
          <cell r="C179">
            <v>44287</v>
          </cell>
        </row>
        <row r="180">
          <cell r="C180">
            <v>44288</v>
          </cell>
        </row>
        <row r="181">
          <cell r="C181">
            <v>44289</v>
          </cell>
        </row>
        <row r="182">
          <cell r="C182">
            <v>44290</v>
          </cell>
        </row>
        <row r="183">
          <cell r="C183">
            <v>44291</v>
          </cell>
        </row>
        <row r="184">
          <cell r="C184">
            <v>44292</v>
          </cell>
        </row>
        <row r="185">
          <cell r="C185">
            <v>44293</v>
          </cell>
        </row>
        <row r="186">
          <cell r="C186">
            <v>44294</v>
          </cell>
        </row>
        <row r="187">
          <cell r="C187">
            <v>44295</v>
          </cell>
        </row>
        <row r="188">
          <cell r="C188">
            <v>44296</v>
          </cell>
        </row>
        <row r="189">
          <cell r="C189">
            <v>44297</v>
          </cell>
        </row>
        <row r="190">
          <cell r="C190">
            <v>44298</v>
          </cell>
        </row>
        <row r="191">
          <cell r="C191">
            <v>44299</v>
          </cell>
        </row>
        <row r="192">
          <cell r="C192">
            <v>44300</v>
          </cell>
        </row>
        <row r="193">
          <cell r="C193">
            <v>44301</v>
          </cell>
        </row>
        <row r="194">
          <cell r="C194">
            <v>44302</v>
          </cell>
          <cell r="L194">
            <v>158</v>
          </cell>
        </row>
        <row r="195">
          <cell r="C195">
            <v>44303</v>
          </cell>
          <cell r="L195">
            <v>265</v>
          </cell>
        </row>
        <row r="196">
          <cell r="C196">
            <v>44304</v>
          </cell>
          <cell r="L196">
            <v>151</v>
          </cell>
        </row>
        <row r="197">
          <cell r="C197">
            <v>44305</v>
          </cell>
        </row>
        <row r="198">
          <cell r="C198">
            <v>44306</v>
          </cell>
          <cell r="L198">
            <v>70</v>
          </cell>
        </row>
        <row r="199">
          <cell r="C199">
            <v>44307</v>
          </cell>
          <cell r="L199">
            <v>69</v>
          </cell>
        </row>
        <row r="200">
          <cell r="C200">
            <v>44308</v>
          </cell>
          <cell r="L200">
            <v>132</v>
          </cell>
        </row>
        <row r="201">
          <cell r="C201">
            <v>44309</v>
          </cell>
          <cell r="L201">
            <v>96</v>
          </cell>
        </row>
        <row r="202">
          <cell r="C202">
            <v>44310</v>
          </cell>
          <cell r="L202">
            <v>254</v>
          </cell>
        </row>
        <row r="203">
          <cell r="C203">
            <v>44311</v>
          </cell>
          <cell r="L203">
            <v>164</v>
          </cell>
        </row>
        <row r="204">
          <cell r="C204">
            <v>44312</v>
          </cell>
          <cell r="L204">
            <v>106</v>
          </cell>
        </row>
        <row r="205">
          <cell r="C205">
            <v>44313</v>
          </cell>
          <cell r="L205">
            <v>54</v>
          </cell>
        </row>
        <row r="206">
          <cell r="C206">
            <v>44314</v>
          </cell>
          <cell r="L206">
            <v>90</v>
          </cell>
        </row>
        <row r="207">
          <cell r="C207">
            <v>44315</v>
          </cell>
          <cell r="L207">
            <v>104</v>
          </cell>
        </row>
        <row r="208">
          <cell r="C208">
            <v>44316</v>
          </cell>
          <cell r="L208">
            <v>99</v>
          </cell>
        </row>
        <row r="209">
          <cell r="C209">
            <v>44317</v>
          </cell>
          <cell r="L209">
            <v>281</v>
          </cell>
        </row>
        <row r="210">
          <cell r="C210">
            <v>44318</v>
          </cell>
          <cell r="L210">
            <v>236</v>
          </cell>
        </row>
        <row r="211">
          <cell r="C211">
            <v>44319</v>
          </cell>
          <cell r="L211">
            <v>105</v>
          </cell>
        </row>
        <row r="212">
          <cell r="C212">
            <v>44320</v>
          </cell>
          <cell r="L212">
            <v>93</v>
          </cell>
        </row>
        <row r="213">
          <cell r="C213">
            <v>44321</v>
          </cell>
          <cell r="L213">
            <v>217</v>
          </cell>
        </row>
        <row r="214">
          <cell r="C214">
            <v>44322</v>
          </cell>
          <cell r="L214">
            <v>121</v>
          </cell>
        </row>
        <row r="215">
          <cell r="C215">
            <v>44323</v>
          </cell>
          <cell r="L215">
            <v>76</v>
          </cell>
        </row>
        <row r="216">
          <cell r="C216">
            <v>44324</v>
          </cell>
          <cell r="L216">
            <v>283</v>
          </cell>
        </row>
        <row r="217">
          <cell r="C217">
            <v>44325</v>
          </cell>
          <cell r="L217">
            <v>229</v>
          </cell>
        </row>
        <row r="218">
          <cell r="C218">
            <v>44326</v>
          </cell>
          <cell r="L218">
            <v>80</v>
          </cell>
        </row>
        <row r="219">
          <cell r="C219">
            <v>44327</v>
          </cell>
          <cell r="L219">
            <v>56</v>
          </cell>
        </row>
        <row r="220">
          <cell r="C220">
            <v>44328</v>
          </cell>
          <cell r="L220">
            <v>55</v>
          </cell>
        </row>
        <row r="221">
          <cell r="C221">
            <v>44329</v>
          </cell>
          <cell r="L221">
            <v>61</v>
          </cell>
        </row>
        <row r="222">
          <cell r="C222">
            <v>44330</v>
          </cell>
          <cell r="L222">
            <v>86</v>
          </cell>
        </row>
        <row r="223">
          <cell r="C223">
            <v>44331</v>
          </cell>
          <cell r="L223">
            <v>283</v>
          </cell>
        </row>
        <row r="224">
          <cell r="C224">
            <v>44332</v>
          </cell>
          <cell r="L224">
            <v>281</v>
          </cell>
        </row>
        <row r="225">
          <cell r="C225">
            <v>44333</v>
          </cell>
          <cell r="L225">
            <v>60</v>
          </cell>
        </row>
        <row r="226">
          <cell r="C226">
            <v>44334</v>
          </cell>
          <cell r="L226">
            <v>83</v>
          </cell>
        </row>
        <row r="227">
          <cell r="C227">
            <v>44335</v>
          </cell>
          <cell r="L227">
            <v>248</v>
          </cell>
        </row>
        <row r="228">
          <cell r="C228">
            <v>44336</v>
          </cell>
          <cell r="L228">
            <v>65</v>
          </cell>
        </row>
        <row r="229">
          <cell r="C229">
            <v>44337</v>
          </cell>
          <cell r="L229">
            <v>192</v>
          </cell>
        </row>
        <row r="230">
          <cell r="C230">
            <v>44338</v>
          </cell>
          <cell r="L230">
            <v>354</v>
          </cell>
        </row>
        <row r="231">
          <cell r="C231">
            <v>44339</v>
          </cell>
          <cell r="L231">
            <v>224</v>
          </cell>
        </row>
        <row r="232">
          <cell r="C232">
            <v>44340</v>
          </cell>
        </row>
        <row r="233">
          <cell r="C233">
            <v>44341</v>
          </cell>
          <cell r="L233">
            <v>99</v>
          </cell>
        </row>
        <row r="234">
          <cell r="C234">
            <v>44342</v>
          </cell>
          <cell r="L234">
            <v>105</v>
          </cell>
        </row>
        <row r="235">
          <cell r="C235">
            <v>44343</v>
          </cell>
          <cell r="L235">
            <v>51</v>
          </cell>
        </row>
        <row r="236">
          <cell r="C236">
            <v>44344</v>
          </cell>
          <cell r="L236">
            <v>76</v>
          </cell>
        </row>
        <row r="237">
          <cell r="C237">
            <v>44345</v>
          </cell>
          <cell r="L237">
            <v>251</v>
          </cell>
        </row>
        <row r="238">
          <cell r="C238">
            <v>44346</v>
          </cell>
          <cell r="L238">
            <v>158</v>
          </cell>
        </row>
        <row r="239">
          <cell r="C239">
            <v>44347</v>
          </cell>
          <cell r="L239">
            <v>51</v>
          </cell>
        </row>
        <row r="240">
          <cell r="C240">
            <v>44348</v>
          </cell>
          <cell r="L240">
            <v>32</v>
          </cell>
        </row>
        <row r="241">
          <cell r="C241">
            <v>44349</v>
          </cell>
          <cell r="L241">
            <v>36</v>
          </cell>
        </row>
        <row r="242">
          <cell r="C242">
            <v>44350</v>
          </cell>
          <cell r="L242">
            <v>57</v>
          </cell>
        </row>
        <row r="243">
          <cell r="C243">
            <v>44351</v>
          </cell>
          <cell r="L243">
            <v>68</v>
          </cell>
        </row>
        <row r="244">
          <cell r="C244">
            <v>44352</v>
          </cell>
          <cell r="L244">
            <v>245</v>
          </cell>
        </row>
        <row r="245">
          <cell r="C245">
            <v>44353</v>
          </cell>
          <cell r="L245">
            <v>158</v>
          </cell>
        </row>
        <row r="246">
          <cell r="C246">
            <v>44354</v>
          </cell>
          <cell r="L246">
            <v>64</v>
          </cell>
        </row>
        <row r="247">
          <cell r="C247">
            <v>44355</v>
          </cell>
          <cell r="L247">
            <v>89</v>
          </cell>
        </row>
        <row r="248">
          <cell r="C248">
            <v>44356</v>
          </cell>
          <cell r="L248">
            <v>77</v>
          </cell>
        </row>
        <row r="249">
          <cell r="C249">
            <v>44357</v>
          </cell>
          <cell r="L249">
            <v>84</v>
          </cell>
        </row>
        <row r="250">
          <cell r="C250">
            <v>44358</v>
          </cell>
          <cell r="L250">
            <v>82</v>
          </cell>
        </row>
        <row r="251">
          <cell r="C251">
            <v>44359</v>
          </cell>
          <cell r="L251">
            <v>313</v>
          </cell>
        </row>
        <row r="252">
          <cell r="C252">
            <v>44360</v>
          </cell>
          <cell r="L252">
            <v>174</v>
          </cell>
        </row>
        <row r="253">
          <cell r="C253">
            <v>44361</v>
          </cell>
        </row>
        <row r="254">
          <cell r="C254">
            <v>44362</v>
          </cell>
          <cell r="L254">
            <v>69</v>
          </cell>
        </row>
        <row r="255">
          <cell r="C255">
            <v>44363</v>
          </cell>
          <cell r="L255">
            <v>62</v>
          </cell>
        </row>
        <row r="256">
          <cell r="C256">
            <v>44364</v>
          </cell>
          <cell r="L256">
            <v>115</v>
          </cell>
        </row>
        <row r="257">
          <cell r="C257">
            <v>44365</v>
          </cell>
          <cell r="L257">
            <v>130</v>
          </cell>
        </row>
        <row r="258">
          <cell r="C258">
            <v>44366</v>
          </cell>
          <cell r="L258">
            <v>337</v>
          </cell>
        </row>
        <row r="259">
          <cell r="C259">
            <v>44367</v>
          </cell>
          <cell r="L259">
            <v>214</v>
          </cell>
        </row>
        <row r="260">
          <cell r="C260">
            <v>44368</v>
          </cell>
          <cell r="L260">
            <v>141</v>
          </cell>
        </row>
        <row r="261">
          <cell r="C261">
            <v>44369</v>
          </cell>
          <cell r="L261">
            <v>82</v>
          </cell>
        </row>
        <row r="262">
          <cell r="C262">
            <v>44370</v>
          </cell>
          <cell r="L262">
            <v>79</v>
          </cell>
        </row>
        <row r="263">
          <cell r="C263">
            <v>44371</v>
          </cell>
          <cell r="L263">
            <v>146</v>
          </cell>
        </row>
        <row r="264">
          <cell r="C264">
            <v>44372</v>
          </cell>
          <cell r="L264">
            <v>132</v>
          </cell>
        </row>
        <row r="265">
          <cell r="C265">
            <v>44373</v>
          </cell>
          <cell r="L265">
            <v>543</v>
          </cell>
        </row>
        <row r="266">
          <cell r="C266">
            <v>44374</v>
          </cell>
          <cell r="L266">
            <v>353</v>
          </cell>
        </row>
        <row r="267">
          <cell r="C267">
            <v>44375</v>
          </cell>
          <cell r="L267">
            <v>150</v>
          </cell>
        </row>
        <row r="268">
          <cell r="C268">
            <v>44376</v>
          </cell>
          <cell r="L268">
            <v>87</v>
          </cell>
        </row>
        <row r="269">
          <cell r="C269">
            <v>44377</v>
          </cell>
          <cell r="L269">
            <v>241</v>
          </cell>
        </row>
        <row r="270">
          <cell r="C270">
            <v>44378</v>
          </cell>
          <cell r="L270">
            <v>238</v>
          </cell>
        </row>
        <row r="271">
          <cell r="C271">
            <v>44379</v>
          </cell>
          <cell r="L271">
            <v>251</v>
          </cell>
        </row>
        <row r="272">
          <cell r="C272">
            <v>44380</v>
          </cell>
          <cell r="L272">
            <v>656</v>
          </cell>
        </row>
        <row r="273">
          <cell r="C273">
            <v>44381</v>
          </cell>
          <cell r="L273">
            <v>473</v>
          </cell>
        </row>
        <row r="274">
          <cell r="C274">
            <v>44382</v>
          </cell>
          <cell r="L274">
            <v>220</v>
          </cell>
        </row>
        <row r="275">
          <cell r="C275">
            <v>44383</v>
          </cell>
          <cell r="L275">
            <v>256</v>
          </cell>
        </row>
        <row r="276">
          <cell r="C276">
            <v>44384</v>
          </cell>
          <cell r="L276">
            <v>216</v>
          </cell>
        </row>
        <row r="277">
          <cell r="C277">
            <v>44385</v>
          </cell>
          <cell r="L277">
            <v>338</v>
          </cell>
        </row>
        <row r="278">
          <cell r="C278">
            <v>44386</v>
          </cell>
          <cell r="L278">
            <v>354</v>
          </cell>
        </row>
        <row r="279">
          <cell r="C279">
            <v>44387</v>
          </cell>
          <cell r="L279">
            <v>760</v>
          </cell>
        </row>
        <row r="280">
          <cell r="C280">
            <v>44388</v>
          </cell>
          <cell r="L280">
            <v>639</v>
          </cell>
        </row>
        <row r="281">
          <cell r="C281">
            <v>44389</v>
          </cell>
        </row>
        <row r="282">
          <cell r="C282">
            <v>44390</v>
          </cell>
        </row>
        <row r="283">
          <cell r="C283">
            <v>44391</v>
          </cell>
        </row>
        <row r="284">
          <cell r="C284">
            <v>44392</v>
          </cell>
        </row>
        <row r="285">
          <cell r="C285">
            <v>44393</v>
          </cell>
        </row>
        <row r="286">
          <cell r="C286">
            <v>44394</v>
          </cell>
        </row>
        <row r="287">
          <cell r="C287">
            <v>44395</v>
          </cell>
        </row>
        <row r="288">
          <cell r="C288">
            <v>44396</v>
          </cell>
        </row>
        <row r="289">
          <cell r="C289">
            <v>44397</v>
          </cell>
        </row>
        <row r="290">
          <cell r="C290">
            <v>44398</v>
          </cell>
        </row>
        <row r="291">
          <cell r="C291">
            <v>44399</v>
          </cell>
        </row>
        <row r="292">
          <cell r="C292">
            <v>44400</v>
          </cell>
        </row>
        <row r="293">
          <cell r="C293">
            <v>44401</v>
          </cell>
        </row>
        <row r="294">
          <cell r="C294">
            <v>44402</v>
          </cell>
        </row>
        <row r="295">
          <cell r="C295">
            <v>44403</v>
          </cell>
        </row>
        <row r="296">
          <cell r="C296">
            <v>44404</v>
          </cell>
        </row>
        <row r="297">
          <cell r="C297">
            <v>44405</v>
          </cell>
        </row>
        <row r="298">
          <cell r="C298">
            <v>44406</v>
          </cell>
        </row>
        <row r="299">
          <cell r="C299">
            <v>44407</v>
          </cell>
        </row>
        <row r="300">
          <cell r="C300">
            <v>44408</v>
          </cell>
        </row>
        <row r="301">
          <cell r="C301">
            <v>44409</v>
          </cell>
        </row>
        <row r="302">
          <cell r="C302">
            <v>44410</v>
          </cell>
        </row>
        <row r="303">
          <cell r="C303">
            <v>44411</v>
          </cell>
        </row>
        <row r="304">
          <cell r="C304">
            <v>44412</v>
          </cell>
        </row>
        <row r="305">
          <cell r="C305">
            <v>44413</v>
          </cell>
        </row>
        <row r="306">
          <cell r="C306">
            <v>44414</v>
          </cell>
        </row>
        <row r="307">
          <cell r="C307">
            <v>44415</v>
          </cell>
        </row>
        <row r="308">
          <cell r="C308">
            <v>44416</v>
          </cell>
        </row>
        <row r="309">
          <cell r="C309">
            <v>44417</v>
          </cell>
        </row>
        <row r="310">
          <cell r="C310">
            <v>44418</v>
          </cell>
        </row>
        <row r="311">
          <cell r="C311">
            <v>44419</v>
          </cell>
        </row>
        <row r="312">
          <cell r="C312">
            <v>44420</v>
          </cell>
        </row>
        <row r="313">
          <cell r="C313">
            <v>44421</v>
          </cell>
        </row>
        <row r="314">
          <cell r="C314">
            <v>44422</v>
          </cell>
        </row>
        <row r="315">
          <cell r="C315">
            <v>44423</v>
          </cell>
        </row>
        <row r="316">
          <cell r="C316">
            <v>44424</v>
          </cell>
        </row>
        <row r="317">
          <cell r="C317">
            <v>44425</v>
          </cell>
        </row>
        <row r="318">
          <cell r="C318">
            <v>44426</v>
          </cell>
        </row>
        <row r="319">
          <cell r="C319">
            <v>44427</v>
          </cell>
        </row>
        <row r="320">
          <cell r="C320">
            <v>44428</v>
          </cell>
        </row>
        <row r="321">
          <cell r="C321">
            <v>44429</v>
          </cell>
        </row>
        <row r="322">
          <cell r="C322">
            <v>44430</v>
          </cell>
        </row>
        <row r="323">
          <cell r="C323">
            <v>44431</v>
          </cell>
        </row>
        <row r="324">
          <cell r="C324">
            <v>44432</v>
          </cell>
        </row>
        <row r="325">
          <cell r="C325">
            <v>44433</v>
          </cell>
        </row>
        <row r="326">
          <cell r="C326">
            <v>44434</v>
          </cell>
        </row>
        <row r="327">
          <cell r="C327">
            <v>44435</v>
          </cell>
        </row>
        <row r="328">
          <cell r="C328">
            <v>44436</v>
          </cell>
        </row>
        <row r="329">
          <cell r="C329">
            <v>44437</v>
          </cell>
        </row>
        <row r="330">
          <cell r="C330">
            <v>44438</v>
          </cell>
        </row>
        <row r="331">
          <cell r="C331">
            <v>44439</v>
          </cell>
        </row>
        <row r="332">
          <cell r="C332">
            <v>44440</v>
          </cell>
        </row>
        <row r="333">
          <cell r="C333">
            <v>44441</v>
          </cell>
        </row>
        <row r="334">
          <cell r="C334">
            <v>44442</v>
          </cell>
        </row>
        <row r="335">
          <cell r="C335">
            <v>44443</v>
          </cell>
        </row>
        <row r="336">
          <cell r="C336">
            <v>44444</v>
          </cell>
        </row>
        <row r="337">
          <cell r="C337">
            <v>44445</v>
          </cell>
        </row>
        <row r="338">
          <cell r="C338">
            <v>44446</v>
          </cell>
        </row>
        <row r="339">
          <cell r="C339">
            <v>44447</v>
          </cell>
        </row>
        <row r="340">
          <cell r="C340">
            <v>44448</v>
          </cell>
        </row>
        <row r="341">
          <cell r="C341">
            <v>44449</v>
          </cell>
        </row>
        <row r="342">
          <cell r="C342">
            <v>44450</v>
          </cell>
        </row>
        <row r="343">
          <cell r="C343">
            <v>44451</v>
          </cell>
        </row>
        <row r="344">
          <cell r="C344">
            <v>44452</v>
          </cell>
        </row>
        <row r="345">
          <cell r="C345">
            <v>44453</v>
          </cell>
        </row>
        <row r="346">
          <cell r="C346">
            <v>44454</v>
          </cell>
        </row>
        <row r="347">
          <cell r="C347">
            <v>44455</v>
          </cell>
        </row>
        <row r="348">
          <cell r="C348">
            <v>44456</v>
          </cell>
        </row>
        <row r="349">
          <cell r="C349">
            <v>44457</v>
          </cell>
        </row>
        <row r="350">
          <cell r="C350">
            <v>44458</v>
          </cell>
        </row>
        <row r="351">
          <cell r="C351">
            <v>44459</v>
          </cell>
        </row>
        <row r="352">
          <cell r="C352">
            <v>44460</v>
          </cell>
        </row>
        <row r="353">
          <cell r="C353">
            <v>44461</v>
          </cell>
        </row>
        <row r="354">
          <cell r="C354">
            <v>44462</v>
          </cell>
        </row>
        <row r="355">
          <cell r="C355">
            <v>44463</v>
          </cell>
        </row>
        <row r="356">
          <cell r="C356">
            <v>44464</v>
          </cell>
        </row>
        <row r="357">
          <cell r="C357">
            <v>44465</v>
          </cell>
        </row>
        <row r="358">
          <cell r="C358">
            <v>44466</v>
          </cell>
        </row>
        <row r="359">
          <cell r="C359">
            <v>44467</v>
          </cell>
        </row>
        <row r="360">
          <cell r="C360">
            <v>44468</v>
          </cell>
        </row>
        <row r="361">
          <cell r="C361">
            <v>44469</v>
          </cell>
          <cell r="L361">
            <v>89</v>
          </cell>
        </row>
        <row r="362">
          <cell r="C362">
            <v>44470</v>
          </cell>
          <cell r="L362">
            <v>98</v>
          </cell>
        </row>
        <row r="363">
          <cell r="C363">
            <v>44471</v>
          </cell>
          <cell r="L363">
            <v>188</v>
          </cell>
        </row>
        <row r="364">
          <cell r="C364">
            <v>44472</v>
          </cell>
          <cell r="L364">
            <v>158</v>
          </cell>
        </row>
        <row r="365">
          <cell r="C365">
            <v>44473</v>
          </cell>
          <cell r="L365">
            <v>181</v>
          </cell>
        </row>
        <row r="366">
          <cell r="C366">
            <v>44474</v>
          </cell>
          <cell r="L366">
            <v>36</v>
          </cell>
        </row>
        <row r="367">
          <cell r="C367">
            <v>44475</v>
          </cell>
          <cell r="L367">
            <v>60</v>
          </cell>
        </row>
        <row r="368">
          <cell r="C368">
            <v>44476</v>
          </cell>
          <cell r="L368">
            <v>73</v>
          </cell>
        </row>
        <row r="369">
          <cell r="C369">
            <v>44477</v>
          </cell>
          <cell r="L369">
            <v>110</v>
          </cell>
        </row>
        <row r="370">
          <cell r="C370">
            <v>44478</v>
          </cell>
          <cell r="L370">
            <v>344</v>
          </cell>
        </row>
        <row r="371">
          <cell r="C371">
            <v>44479</v>
          </cell>
          <cell r="L371">
            <v>356</v>
          </cell>
        </row>
        <row r="372">
          <cell r="C372">
            <v>44480</v>
          </cell>
          <cell r="L372">
            <v>225</v>
          </cell>
        </row>
        <row r="373">
          <cell r="C373">
            <v>44481</v>
          </cell>
          <cell r="L373">
            <v>38</v>
          </cell>
        </row>
        <row r="374">
          <cell r="C374">
            <v>44482</v>
          </cell>
          <cell r="L374">
            <v>72</v>
          </cell>
        </row>
        <row r="375">
          <cell r="C375">
            <v>44483</v>
          </cell>
          <cell r="L375">
            <v>44</v>
          </cell>
        </row>
        <row r="376">
          <cell r="C376">
            <v>44484</v>
          </cell>
          <cell r="L376">
            <v>82</v>
          </cell>
        </row>
        <row r="377">
          <cell r="C377">
            <v>44485</v>
          </cell>
          <cell r="L377">
            <v>331</v>
          </cell>
        </row>
        <row r="378">
          <cell r="C378">
            <v>44486</v>
          </cell>
          <cell r="L378">
            <v>265</v>
          </cell>
        </row>
        <row r="379">
          <cell r="C379">
            <v>44487</v>
          </cell>
        </row>
        <row r="380">
          <cell r="C380">
            <v>44488</v>
          </cell>
          <cell r="L380">
            <v>60</v>
          </cell>
        </row>
        <row r="381">
          <cell r="C381">
            <v>44489</v>
          </cell>
          <cell r="L381">
            <v>65</v>
          </cell>
        </row>
        <row r="382">
          <cell r="C382">
            <v>44490</v>
          </cell>
          <cell r="L382">
            <v>64</v>
          </cell>
        </row>
        <row r="383">
          <cell r="C383">
            <v>44491</v>
          </cell>
          <cell r="L383">
            <v>110</v>
          </cell>
        </row>
        <row r="384">
          <cell r="C384">
            <v>44492</v>
          </cell>
          <cell r="L384">
            <v>320</v>
          </cell>
        </row>
        <row r="385">
          <cell r="C385">
            <v>44493</v>
          </cell>
          <cell r="L385">
            <v>280</v>
          </cell>
        </row>
        <row r="386">
          <cell r="C386">
            <v>44494</v>
          </cell>
          <cell r="L386">
            <v>78</v>
          </cell>
        </row>
        <row r="387">
          <cell r="C387">
            <v>44495</v>
          </cell>
          <cell r="L387">
            <v>54</v>
          </cell>
        </row>
        <row r="388">
          <cell r="C388">
            <v>44496</v>
          </cell>
          <cell r="L388">
            <v>176</v>
          </cell>
        </row>
        <row r="389">
          <cell r="C389">
            <v>44497</v>
          </cell>
          <cell r="L389">
            <v>55</v>
          </cell>
        </row>
        <row r="390">
          <cell r="C390">
            <v>44498</v>
          </cell>
          <cell r="L390">
            <v>134</v>
          </cell>
        </row>
        <row r="391">
          <cell r="C391">
            <v>44499</v>
          </cell>
          <cell r="L391">
            <v>349</v>
          </cell>
        </row>
        <row r="392">
          <cell r="C392">
            <v>44500</v>
          </cell>
          <cell r="L392">
            <v>407</v>
          </cell>
        </row>
        <row r="393">
          <cell r="C393">
            <v>44501</v>
          </cell>
          <cell r="L393">
            <v>60</v>
          </cell>
        </row>
        <row r="394">
          <cell r="C394">
            <v>44502</v>
          </cell>
          <cell r="L394">
            <v>61</v>
          </cell>
        </row>
        <row r="395">
          <cell r="C395">
            <v>44503</v>
          </cell>
          <cell r="L395">
            <v>96</v>
          </cell>
        </row>
        <row r="396">
          <cell r="C396">
            <v>44504</v>
          </cell>
          <cell r="L396">
            <v>85</v>
          </cell>
        </row>
        <row r="397">
          <cell r="C397">
            <v>44505</v>
          </cell>
          <cell r="L397">
            <v>155</v>
          </cell>
        </row>
        <row r="398">
          <cell r="C398">
            <v>44506</v>
          </cell>
          <cell r="L398">
            <v>372</v>
          </cell>
        </row>
        <row r="399">
          <cell r="C399">
            <v>44507</v>
          </cell>
          <cell r="L399">
            <v>355</v>
          </cell>
        </row>
        <row r="400">
          <cell r="C400">
            <v>44508</v>
          </cell>
        </row>
        <row r="401">
          <cell r="C401">
            <v>44509</v>
          </cell>
          <cell r="L401">
            <v>106</v>
          </cell>
        </row>
        <row r="402">
          <cell r="C402">
            <v>44510</v>
          </cell>
          <cell r="L402">
            <v>157</v>
          </cell>
        </row>
        <row r="403">
          <cell r="C403">
            <v>44511</v>
          </cell>
          <cell r="L403">
            <v>133</v>
          </cell>
        </row>
        <row r="404">
          <cell r="C404">
            <v>44512</v>
          </cell>
          <cell r="L404">
            <v>177</v>
          </cell>
        </row>
        <row r="405">
          <cell r="C405">
            <v>44513</v>
          </cell>
          <cell r="L405">
            <v>465</v>
          </cell>
        </row>
        <row r="406">
          <cell r="C406">
            <v>44514</v>
          </cell>
          <cell r="L406">
            <v>361</v>
          </cell>
        </row>
        <row r="407">
          <cell r="C407">
            <v>44515</v>
          </cell>
          <cell r="L407">
            <v>123</v>
          </cell>
        </row>
        <row r="408">
          <cell r="C408">
            <v>44516</v>
          </cell>
          <cell r="L408">
            <v>121</v>
          </cell>
        </row>
        <row r="409">
          <cell r="C409">
            <v>44517</v>
          </cell>
          <cell r="L409">
            <v>118</v>
          </cell>
        </row>
        <row r="410">
          <cell r="C410">
            <v>44518</v>
          </cell>
          <cell r="L410">
            <v>127</v>
          </cell>
        </row>
        <row r="411">
          <cell r="C411">
            <v>44519</v>
          </cell>
          <cell r="L411">
            <v>244</v>
          </cell>
        </row>
        <row r="412">
          <cell r="C412">
            <v>44520</v>
          </cell>
          <cell r="L412">
            <v>569</v>
          </cell>
        </row>
        <row r="413">
          <cell r="C413">
            <v>44521</v>
          </cell>
          <cell r="L413">
            <v>527</v>
          </cell>
        </row>
        <row r="414">
          <cell r="C414">
            <v>44522</v>
          </cell>
          <cell r="L414">
            <v>124</v>
          </cell>
        </row>
        <row r="415">
          <cell r="C415">
            <v>44523</v>
          </cell>
          <cell r="L415">
            <v>202</v>
          </cell>
        </row>
        <row r="416">
          <cell r="C416">
            <v>44524</v>
          </cell>
          <cell r="L416">
            <v>252</v>
          </cell>
        </row>
        <row r="417">
          <cell r="C417">
            <v>44525</v>
          </cell>
          <cell r="L417">
            <v>122</v>
          </cell>
        </row>
        <row r="418">
          <cell r="C418">
            <v>44526</v>
          </cell>
          <cell r="L418">
            <v>243</v>
          </cell>
        </row>
        <row r="419">
          <cell r="C419">
            <v>44527</v>
          </cell>
          <cell r="L419">
            <v>561</v>
          </cell>
        </row>
        <row r="420">
          <cell r="C420">
            <v>44528</v>
          </cell>
          <cell r="L420">
            <v>515</v>
          </cell>
        </row>
        <row r="421">
          <cell r="C421">
            <v>44529</v>
          </cell>
          <cell r="L421">
            <v>179</v>
          </cell>
        </row>
        <row r="422">
          <cell r="C422">
            <v>44530</v>
          </cell>
          <cell r="L422">
            <v>169</v>
          </cell>
        </row>
        <row r="423">
          <cell r="C423">
            <v>44531</v>
          </cell>
          <cell r="L423">
            <v>216</v>
          </cell>
        </row>
        <row r="424">
          <cell r="C424">
            <v>44532</v>
          </cell>
          <cell r="L424">
            <v>109</v>
          </cell>
        </row>
        <row r="425">
          <cell r="C425">
            <v>44533</v>
          </cell>
          <cell r="L425">
            <v>152</v>
          </cell>
        </row>
        <row r="426">
          <cell r="C426">
            <v>44534</v>
          </cell>
          <cell r="L426">
            <v>493</v>
          </cell>
        </row>
        <row r="427">
          <cell r="C427">
            <v>44535</v>
          </cell>
          <cell r="L427">
            <v>388</v>
          </cell>
        </row>
        <row r="428">
          <cell r="C428">
            <v>44536</v>
          </cell>
          <cell r="L428">
            <v>108</v>
          </cell>
        </row>
        <row r="429">
          <cell r="C429">
            <v>44537</v>
          </cell>
          <cell r="L429">
            <v>92</v>
          </cell>
        </row>
        <row r="430">
          <cell r="C430">
            <v>44538</v>
          </cell>
          <cell r="L430">
            <v>70</v>
          </cell>
        </row>
        <row r="431">
          <cell r="C431">
            <v>44539</v>
          </cell>
          <cell r="L431">
            <v>100</v>
          </cell>
        </row>
        <row r="432">
          <cell r="C432">
            <v>44540</v>
          </cell>
          <cell r="L432">
            <v>134</v>
          </cell>
        </row>
        <row r="433">
          <cell r="C433">
            <v>44541</v>
          </cell>
          <cell r="L433">
            <v>316</v>
          </cell>
        </row>
        <row r="434">
          <cell r="C434">
            <v>44542</v>
          </cell>
          <cell r="L434">
            <v>302</v>
          </cell>
        </row>
        <row r="435">
          <cell r="C435">
            <v>44543</v>
          </cell>
          <cell r="L435">
            <v>96</v>
          </cell>
        </row>
        <row r="436">
          <cell r="C436">
            <v>44544</v>
          </cell>
          <cell r="L436">
            <v>63</v>
          </cell>
        </row>
        <row r="437">
          <cell r="C437">
            <v>44545</v>
          </cell>
          <cell r="L437">
            <v>102</v>
          </cell>
        </row>
        <row r="438">
          <cell r="C438">
            <v>44546</v>
          </cell>
          <cell r="L438">
            <v>133</v>
          </cell>
        </row>
        <row r="439">
          <cell r="C439">
            <v>44547</v>
          </cell>
          <cell r="L439">
            <v>119</v>
          </cell>
        </row>
        <row r="440">
          <cell r="C440">
            <v>44548</v>
          </cell>
          <cell r="L440">
            <v>358</v>
          </cell>
        </row>
        <row r="441">
          <cell r="C441">
            <v>44549</v>
          </cell>
          <cell r="L441">
            <v>376</v>
          </cell>
        </row>
        <row r="442">
          <cell r="C442">
            <v>44550</v>
          </cell>
          <cell r="L442">
            <v>130</v>
          </cell>
        </row>
        <row r="443">
          <cell r="C443">
            <v>44551</v>
          </cell>
          <cell r="L443">
            <v>166</v>
          </cell>
        </row>
        <row r="444">
          <cell r="C444">
            <v>44552</v>
          </cell>
          <cell r="L444">
            <v>201</v>
          </cell>
        </row>
        <row r="445">
          <cell r="C445">
            <v>44553</v>
          </cell>
          <cell r="L445">
            <v>185</v>
          </cell>
        </row>
        <row r="446">
          <cell r="C446">
            <v>44554</v>
          </cell>
          <cell r="L446">
            <v>257</v>
          </cell>
        </row>
        <row r="447">
          <cell r="C447">
            <v>44555</v>
          </cell>
          <cell r="L447">
            <v>578</v>
          </cell>
        </row>
        <row r="448">
          <cell r="C448">
            <v>44556</v>
          </cell>
          <cell r="L448">
            <v>432</v>
          </cell>
        </row>
        <row r="449">
          <cell r="C449">
            <v>44557</v>
          </cell>
          <cell r="L449">
            <v>305</v>
          </cell>
        </row>
        <row r="450">
          <cell r="C450">
            <v>44558</v>
          </cell>
          <cell r="L450">
            <v>332</v>
          </cell>
        </row>
        <row r="451">
          <cell r="C451">
            <v>44559</v>
          </cell>
          <cell r="L451">
            <v>633</v>
          </cell>
        </row>
        <row r="452">
          <cell r="C452">
            <v>44560</v>
          </cell>
          <cell r="L452">
            <v>503</v>
          </cell>
        </row>
        <row r="453">
          <cell r="C453">
            <v>44561</v>
          </cell>
          <cell r="L453">
            <v>539</v>
          </cell>
        </row>
        <row r="454">
          <cell r="C454">
            <v>44562</v>
          </cell>
        </row>
        <row r="455">
          <cell r="C455">
            <v>44563</v>
          </cell>
          <cell r="L455">
            <v>1215</v>
          </cell>
        </row>
        <row r="456">
          <cell r="C456">
            <v>44564</v>
          </cell>
          <cell r="L456">
            <v>121</v>
          </cell>
        </row>
        <row r="457">
          <cell r="C457">
            <v>44565</v>
          </cell>
          <cell r="L457">
            <v>239</v>
          </cell>
        </row>
        <row r="458">
          <cell r="C458">
            <v>44566</v>
          </cell>
          <cell r="L458">
            <v>390</v>
          </cell>
        </row>
        <row r="459">
          <cell r="C459">
            <v>44567</v>
          </cell>
          <cell r="L459">
            <v>400</v>
          </cell>
        </row>
        <row r="460">
          <cell r="C460">
            <v>44568</v>
          </cell>
          <cell r="L460">
            <v>493</v>
          </cell>
        </row>
        <row r="461">
          <cell r="C461">
            <v>44569</v>
          </cell>
          <cell r="L461">
            <v>1009</v>
          </cell>
        </row>
        <row r="462">
          <cell r="C462">
            <v>44570</v>
          </cell>
          <cell r="L462">
            <v>1089</v>
          </cell>
        </row>
        <row r="463">
          <cell r="C463">
            <v>44571</v>
          </cell>
        </row>
        <row r="464">
          <cell r="C464">
            <v>44572</v>
          </cell>
        </row>
        <row r="465">
          <cell r="C465">
            <v>44573</v>
          </cell>
        </row>
        <row r="466">
          <cell r="C466">
            <v>44574</v>
          </cell>
        </row>
        <row r="467">
          <cell r="C467">
            <v>44575</v>
          </cell>
        </row>
        <row r="468">
          <cell r="C468">
            <v>44576</v>
          </cell>
        </row>
        <row r="469">
          <cell r="C469">
            <v>44577</v>
          </cell>
        </row>
        <row r="470">
          <cell r="C470">
            <v>44578</v>
          </cell>
        </row>
        <row r="471">
          <cell r="C471">
            <v>44579</v>
          </cell>
        </row>
        <row r="472">
          <cell r="C472">
            <v>44580</v>
          </cell>
        </row>
        <row r="473">
          <cell r="C473">
            <v>44581</v>
          </cell>
        </row>
        <row r="474">
          <cell r="C474">
            <v>44582</v>
          </cell>
        </row>
        <row r="475">
          <cell r="C475">
            <v>44583</v>
          </cell>
        </row>
        <row r="476">
          <cell r="C476">
            <v>44584</v>
          </cell>
        </row>
        <row r="477">
          <cell r="C477">
            <v>44585</v>
          </cell>
        </row>
        <row r="478">
          <cell r="C478">
            <v>44586</v>
          </cell>
        </row>
        <row r="479">
          <cell r="C479">
            <v>44587</v>
          </cell>
        </row>
        <row r="480">
          <cell r="C480">
            <v>44588</v>
          </cell>
        </row>
        <row r="481">
          <cell r="C481">
            <v>44589</v>
          </cell>
        </row>
        <row r="482">
          <cell r="C482">
            <v>44590</v>
          </cell>
        </row>
        <row r="483">
          <cell r="C483">
            <v>44591</v>
          </cell>
        </row>
        <row r="484">
          <cell r="C484">
            <v>44592</v>
          </cell>
        </row>
        <row r="485">
          <cell r="C485">
            <v>44593</v>
          </cell>
        </row>
        <row r="486">
          <cell r="C486">
            <v>44594</v>
          </cell>
        </row>
        <row r="487">
          <cell r="C487">
            <v>44595</v>
          </cell>
        </row>
        <row r="488">
          <cell r="C488">
            <v>44596</v>
          </cell>
        </row>
        <row r="489">
          <cell r="C489">
            <v>44597</v>
          </cell>
        </row>
        <row r="490">
          <cell r="C490">
            <v>44598</v>
          </cell>
        </row>
        <row r="491">
          <cell r="C491">
            <v>44599</v>
          </cell>
        </row>
        <row r="492">
          <cell r="C492">
            <v>44600</v>
          </cell>
        </row>
        <row r="493">
          <cell r="C493">
            <v>44601</v>
          </cell>
        </row>
        <row r="494">
          <cell r="C494">
            <v>44602</v>
          </cell>
        </row>
        <row r="495">
          <cell r="C495">
            <v>44603</v>
          </cell>
        </row>
        <row r="496">
          <cell r="C496">
            <v>44604</v>
          </cell>
        </row>
        <row r="497">
          <cell r="C497">
            <v>44605</v>
          </cell>
        </row>
        <row r="498">
          <cell r="C498">
            <v>44606</v>
          </cell>
        </row>
        <row r="499">
          <cell r="C499">
            <v>44607</v>
          </cell>
        </row>
        <row r="500">
          <cell r="C500">
            <v>44608</v>
          </cell>
        </row>
        <row r="501">
          <cell r="C501">
            <v>44609</v>
          </cell>
        </row>
        <row r="502">
          <cell r="C502">
            <v>44610</v>
          </cell>
        </row>
        <row r="503">
          <cell r="C503">
            <v>44611</v>
          </cell>
        </row>
        <row r="504">
          <cell r="C504">
            <v>44612</v>
          </cell>
        </row>
        <row r="505">
          <cell r="C505">
            <v>44613</v>
          </cell>
        </row>
        <row r="506">
          <cell r="C506">
            <v>44614</v>
          </cell>
        </row>
        <row r="507">
          <cell r="C507">
            <v>44615</v>
          </cell>
        </row>
        <row r="508">
          <cell r="C508">
            <v>44616</v>
          </cell>
        </row>
        <row r="509">
          <cell r="C509">
            <v>44617</v>
          </cell>
        </row>
        <row r="510">
          <cell r="C510">
            <v>44618</v>
          </cell>
        </row>
        <row r="511">
          <cell r="C511">
            <v>44619</v>
          </cell>
        </row>
        <row r="512">
          <cell r="C512">
            <v>44620</v>
          </cell>
          <cell r="L512">
            <v>285</v>
          </cell>
        </row>
        <row r="513">
          <cell r="C513">
            <v>44621</v>
          </cell>
          <cell r="L513">
            <v>356</v>
          </cell>
        </row>
        <row r="514">
          <cell r="C514">
            <v>44622</v>
          </cell>
          <cell r="L514">
            <v>130</v>
          </cell>
        </row>
        <row r="515">
          <cell r="C515">
            <v>44623</v>
          </cell>
          <cell r="L515">
            <v>107</v>
          </cell>
        </row>
        <row r="516">
          <cell r="C516">
            <v>44624</v>
          </cell>
          <cell r="L516">
            <v>143</v>
          </cell>
        </row>
        <row r="517">
          <cell r="C517">
            <v>44625</v>
          </cell>
          <cell r="L517">
            <v>509</v>
          </cell>
        </row>
        <row r="518">
          <cell r="C518">
            <v>44626</v>
          </cell>
          <cell r="L518">
            <v>390</v>
          </cell>
        </row>
        <row r="519">
          <cell r="C519">
            <v>44627</v>
          </cell>
        </row>
        <row r="520">
          <cell r="C520">
            <v>44628</v>
          </cell>
          <cell r="L520">
            <v>129</v>
          </cell>
        </row>
        <row r="521">
          <cell r="C521">
            <v>44629</v>
          </cell>
          <cell r="L521">
            <v>469</v>
          </cell>
        </row>
        <row r="522">
          <cell r="C522">
            <v>44630</v>
          </cell>
          <cell r="L522">
            <v>135</v>
          </cell>
        </row>
        <row r="523">
          <cell r="C523">
            <v>44631</v>
          </cell>
          <cell r="L523">
            <v>181</v>
          </cell>
        </row>
        <row r="524">
          <cell r="C524">
            <v>44632</v>
          </cell>
          <cell r="L524">
            <v>569</v>
          </cell>
        </row>
        <row r="525">
          <cell r="C525">
            <v>44633</v>
          </cell>
          <cell r="L525">
            <v>470</v>
          </cell>
        </row>
        <row r="526">
          <cell r="C526">
            <v>44634</v>
          </cell>
          <cell r="L526">
            <v>131</v>
          </cell>
        </row>
        <row r="527">
          <cell r="C527">
            <v>44635</v>
          </cell>
          <cell r="L527">
            <v>137</v>
          </cell>
        </row>
        <row r="528">
          <cell r="C528">
            <v>44636</v>
          </cell>
          <cell r="L528">
            <v>174</v>
          </cell>
        </row>
        <row r="529">
          <cell r="C529">
            <v>44637</v>
          </cell>
          <cell r="L529">
            <v>119</v>
          </cell>
        </row>
        <row r="530">
          <cell r="C530">
            <v>44638</v>
          </cell>
          <cell r="L530">
            <v>230</v>
          </cell>
        </row>
        <row r="531">
          <cell r="C531">
            <v>44639</v>
          </cell>
          <cell r="L531">
            <v>661</v>
          </cell>
        </row>
        <row r="532">
          <cell r="C532">
            <v>44640</v>
          </cell>
          <cell r="L532">
            <v>559</v>
          </cell>
        </row>
        <row r="533">
          <cell r="C533">
            <v>44641</v>
          </cell>
          <cell r="L533">
            <v>202</v>
          </cell>
        </row>
        <row r="534">
          <cell r="C534">
            <v>44642</v>
          </cell>
          <cell r="L534">
            <v>184</v>
          </cell>
        </row>
        <row r="535">
          <cell r="C535">
            <v>44643</v>
          </cell>
          <cell r="L535">
            <v>128</v>
          </cell>
        </row>
        <row r="536">
          <cell r="C536">
            <v>44644</v>
          </cell>
          <cell r="L536">
            <v>160</v>
          </cell>
        </row>
        <row r="537">
          <cell r="C537">
            <v>44645</v>
          </cell>
          <cell r="L537">
            <v>203</v>
          </cell>
        </row>
        <row r="538">
          <cell r="C538">
            <v>44646</v>
          </cell>
          <cell r="L538">
            <v>841</v>
          </cell>
        </row>
        <row r="539">
          <cell r="C539">
            <v>44647</v>
          </cell>
          <cell r="L539">
            <v>701</v>
          </cell>
        </row>
        <row r="540">
          <cell r="C540">
            <v>44648</v>
          </cell>
          <cell r="L540">
            <v>250</v>
          </cell>
        </row>
        <row r="541">
          <cell r="C541">
            <v>44649</v>
          </cell>
          <cell r="L541">
            <v>240</v>
          </cell>
        </row>
        <row r="542">
          <cell r="C542">
            <v>44650</v>
          </cell>
          <cell r="L542">
            <v>419</v>
          </cell>
        </row>
        <row r="543">
          <cell r="C543">
            <v>44651</v>
          </cell>
          <cell r="L543">
            <v>457</v>
          </cell>
        </row>
        <row r="544">
          <cell r="C544">
            <v>44652</v>
          </cell>
          <cell r="L544">
            <v>210</v>
          </cell>
        </row>
        <row r="545">
          <cell r="C545">
            <v>44653</v>
          </cell>
          <cell r="L545">
            <v>558</v>
          </cell>
        </row>
        <row r="546">
          <cell r="C546">
            <v>44654</v>
          </cell>
          <cell r="L546">
            <v>423</v>
          </cell>
        </row>
        <row r="547">
          <cell r="C547">
            <v>44655</v>
          </cell>
          <cell r="L547">
            <v>160</v>
          </cell>
        </row>
        <row r="548">
          <cell r="C548">
            <v>44656</v>
          </cell>
          <cell r="L548">
            <v>194</v>
          </cell>
        </row>
        <row r="549">
          <cell r="C549">
            <v>44657</v>
          </cell>
          <cell r="L549">
            <v>163</v>
          </cell>
        </row>
        <row r="550">
          <cell r="C550">
            <v>44658</v>
          </cell>
          <cell r="L550">
            <v>182</v>
          </cell>
        </row>
        <row r="551">
          <cell r="C551">
            <v>44659</v>
          </cell>
          <cell r="L551">
            <v>274</v>
          </cell>
        </row>
        <row r="552">
          <cell r="C552">
            <v>44660</v>
          </cell>
          <cell r="L552">
            <v>656</v>
          </cell>
        </row>
        <row r="553">
          <cell r="C553">
            <v>44661</v>
          </cell>
          <cell r="L553">
            <v>406</v>
          </cell>
        </row>
        <row r="554">
          <cell r="C554">
            <v>44662</v>
          </cell>
          <cell r="L554">
            <v>173</v>
          </cell>
        </row>
        <row r="555">
          <cell r="C555">
            <v>44663</v>
          </cell>
          <cell r="L555">
            <v>170</v>
          </cell>
        </row>
        <row r="556">
          <cell r="C556">
            <v>44664</v>
          </cell>
          <cell r="L556">
            <v>138</v>
          </cell>
        </row>
        <row r="557">
          <cell r="C557">
            <v>44665</v>
          </cell>
          <cell r="L557">
            <v>157</v>
          </cell>
        </row>
        <row r="558">
          <cell r="C558">
            <v>44666</v>
          </cell>
          <cell r="L558">
            <v>189</v>
          </cell>
        </row>
        <row r="559">
          <cell r="C559">
            <v>44667</v>
          </cell>
          <cell r="L559">
            <v>466</v>
          </cell>
        </row>
        <row r="560">
          <cell r="C560">
            <v>44668</v>
          </cell>
          <cell r="L560">
            <v>324</v>
          </cell>
        </row>
        <row r="561">
          <cell r="C561">
            <v>44669</v>
          </cell>
        </row>
        <row r="562">
          <cell r="C562">
            <v>44670</v>
          </cell>
          <cell r="L562">
            <v>112</v>
          </cell>
        </row>
        <row r="563">
          <cell r="C563">
            <v>44671</v>
          </cell>
          <cell r="L563">
            <v>126</v>
          </cell>
        </row>
        <row r="564">
          <cell r="C564">
            <v>44672</v>
          </cell>
          <cell r="L564">
            <v>115</v>
          </cell>
        </row>
        <row r="565">
          <cell r="C565">
            <v>44673</v>
          </cell>
          <cell r="L565">
            <v>154</v>
          </cell>
        </row>
        <row r="566">
          <cell r="C566">
            <v>44674</v>
          </cell>
          <cell r="L566">
            <v>476</v>
          </cell>
        </row>
        <row r="567">
          <cell r="C567">
            <v>44675</v>
          </cell>
          <cell r="L567">
            <v>264</v>
          </cell>
        </row>
        <row r="568">
          <cell r="C568">
            <v>44676</v>
          </cell>
          <cell r="L568">
            <v>174</v>
          </cell>
        </row>
        <row r="569">
          <cell r="C569">
            <v>44677</v>
          </cell>
          <cell r="L569">
            <v>124</v>
          </cell>
        </row>
        <row r="570">
          <cell r="C570">
            <v>44678</v>
          </cell>
          <cell r="L570">
            <v>309</v>
          </cell>
        </row>
        <row r="571">
          <cell r="C571">
            <v>44679</v>
          </cell>
          <cell r="L571">
            <v>228</v>
          </cell>
        </row>
        <row r="572">
          <cell r="C572">
            <v>44680</v>
          </cell>
          <cell r="L572">
            <v>289</v>
          </cell>
        </row>
        <row r="573">
          <cell r="C573">
            <v>44681</v>
          </cell>
          <cell r="L573">
            <v>564</v>
          </cell>
        </row>
        <row r="574">
          <cell r="C574">
            <v>44682</v>
          </cell>
          <cell r="L574">
            <v>327</v>
          </cell>
        </row>
        <row r="575">
          <cell r="C575">
            <v>44683</v>
          </cell>
          <cell r="L575">
            <v>131</v>
          </cell>
        </row>
        <row r="576">
          <cell r="C576">
            <v>44684</v>
          </cell>
          <cell r="L576">
            <v>149</v>
          </cell>
        </row>
        <row r="577">
          <cell r="C577">
            <v>44685</v>
          </cell>
          <cell r="L577">
            <v>80</v>
          </cell>
        </row>
        <row r="578">
          <cell r="C578">
            <v>44686</v>
          </cell>
          <cell r="L578">
            <v>317</v>
          </cell>
        </row>
        <row r="579">
          <cell r="C579">
            <v>44687</v>
          </cell>
          <cell r="L579">
            <v>258</v>
          </cell>
        </row>
        <row r="580">
          <cell r="C580">
            <v>44688</v>
          </cell>
          <cell r="L580">
            <v>455</v>
          </cell>
        </row>
        <row r="581">
          <cell r="C581">
            <v>44689</v>
          </cell>
          <cell r="L581">
            <v>300</v>
          </cell>
        </row>
        <row r="582">
          <cell r="C582">
            <v>44690</v>
          </cell>
          <cell r="L582">
            <v>114</v>
          </cell>
        </row>
        <row r="583">
          <cell r="C583">
            <v>44691</v>
          </cell>
          <cell r="L583">
            <v>106</v>
          </cell>
        </row>
        <row r="584">
          <cell r="C584">
            <v>44692</v>
          </cell>
          <cell r="L584">
            <v>94</v>
          </cell>
        </row>
        <row r="585">
          <cell r="C585">
            <v>44693</v>
          </cell>
          <cell r="L585">
            <v>111</v>
          </cell>
        </row>
        <row r="586">
          <cell r="C586">
            <v>44694</v>
          </cell>
          <cell r="L586">
            <v>108</v>
          </cell>
        </row>
        <row r="587">
          <cell r="C587">
            <v>44695</v>
          </cell>
          <cell r="L587">
            <v>604</v>
          </cell>
        </row>
        <row r="588">
          <cell r="C588">
            <v>44696</v>
          </cell>
          <cell r="L588">
            <v>456</v>
          </cell>
        </row>
        <row r="589">
          <cell r="C589">
            <v>44697</v>
          </cell>
          <cell r="L589">
            <v>127</v>
          </cell>
        </row>
        <row r="590">
          <cell r="C590">
            <v>44698</v>
          </cell>
          <cell r="L590">
            <v>130</v>
          </cell>
        </row>
        <row r="591">
          <cell r="C591">
            <v>44699</v>
          </cell>
          <cell r="L591">
            <v>123</v>
          </cell>
        </row>
        <row r="592">
          <cell r="C592">
            <v>44700</v>
          </cell>
          <cell r="L592">
            <v>128</v>
          </cell>
        </row>
        <row r="593">
          <cell r="C593">
            <v>44701</v>
          </cell>
          <cell r="L593">
            <v>219</v>
          </cell>
        </row>
        <row r="594">
          <cell r="C594">
            <v>44702</v>
          </cell>
          <cell r="L594">
            <v>665</v>
          </cell>
        </row>
        <row r="595">
          <cell r="C595">
            <v>44703</v>
          </cell>
          <cell r="L595">
            <v>528</v>
          </cell>
        </row>
        <row r="596">
          <cell r="C596">
            <v>44704</v>
          </cell>
        </row>
        <row r="597">
          <cell r="C597">
            <v>44705</v>
          </cell>
          <cell r="L597">
            <v>114</v>
          </cell>
        </row>
        <row r="598">
          <cell r="C598">
            <v>44706</v>
          </cell>
          <cell r="L598">
            <v>275</v>
          </cell>
        </row>
        <row r="599">
          <cell r="C599">
            <v>44707</v>
          </cell>
          <cell r="L599">
            <v>181</v>
          </cell>
        </row>
        <row r="600">
          <cell r="C600">
            <v>44708</v>
          </cell>
          <cell r="L600">
            <v>298</v>
          </cell>
        </row>
        <row r="601">
          <cell r="C601">
            <v>44709</v>
          </cell>
          <cell r="L601">
            <v>690</v>
          </cell>
        </row>
        <row r="602">
          <cell r="C602">
            <v>44710</v>
          </cell>
          <cell r="L602">
            <v>660</v>
          </cell>
        </row>
        <row r="603">
          <cell r="C603">
            <v>44711</v>
          </cell>
          <cell r="L603">
            <v>242</v>
          </cell>
        </row>
        <row r="604">
          <cell r="C604">
            <v>44712</v>
          </cell>
          <cell r="L604">
            <v>285</v>
          </cell>
        </row>
        <row r="605">
          <cell r="C605">
            <v>44713</v>
          </cell>
          <cell r="L605">
            <v>718</v>
          </cell>
        </row>
        <row r="606">
          <cell r="C606">
            <v>44714</v>
          </cell>
          <cell r="L606">
            <v>240</v>
          </cell>
        </row>
        <row r="607">
          <cell r="C607">
            <v>44715</v>
          </cell>
          <cell r="L607">
            <v>403</v>
          </cell>
        </row>
        <row r="608">
          <cell r="C608">
            <v>44716</v>
          </cell>
          <cell r="L608">
            <v>858</v>
          </cell>
        </row>
        <row r="609">
          <cell r="C609">
            <v>44717</v>
          </cell>
          <cell r="L609">
            <v>784</v>
          </cell>
        </row>
        <row r="610">
          <cell r="C610">
            <v>44718</v>
          </cell>
          <cell r="L610">
            <v>1132</v>
          </cell>
        </row>
        <row r="611">
          <cell r="C611">
            <v>44719</v>
          </cell>
        </row>
        <row r="612">
          <cell r="C612">
            <v>44720</v>
          </cell>
        </row>
        <row r="613">
          <cell r="C613">
            <v>44721</v>
          </cell>
        </row>
        <row r="614">
          <cell r="C614">
            <v>44722</v>
          </cell>
        </row>
        <row r="615">
          <cell r="C615">
            <v>44723</v>
          </cell>
        </row>
        <row r="616">
          <cell r="C616">
            <v>44724</v>
          </cell>
        </row>
        <row r="617">
          <cell r="C617">
            <v>44725</v>
          </cell>
        </row>
        <row r="618">
          <cell r="C618">
            <v>44726</v>
          </cell>
        </row>
        <row r="619">
          <cell r="C619">
            <v>44727</v>
          </cell>
        </row>
        <row r="620">
          <cell r="C620">
            <v>44728</v>
          </cell>
        </row>
        <row r="621">
          <cell r="C621">
            <v>44729</v>
          </cell>
        </row>
        <row r="622">
          <cell r="C622">
            <v>44730</v>
          </cell>
        </row>
        <row r="623">
          <cell r="C623">
            <v>44731</v>
          </cell>
        </row>
        <row r="624">
          <cell r="C624">
            <v>44732</v>
          </cell>
        </row>
        <row r="625">
          <cell r="C625">
            <v>44733</v>
          </cell>
        </row>
        <row r="626">
          <cell r="C626">
            <v>44734</v>
          </cell>
        </row>
        <row r="627">
          <cell r="C627">
            <v>44735</v>
          </cell>
        </row>
        <row r="628">
          <cell r="C628">
            <v>44736</v>
          </cell>
        </row>
        <row r="629">
          <cell r="C629">
            <v>44737</v>
          </cell>
        </row>
        <row r="630">
          <cell r="C630">
            <v>44738</v>
          </cell>
        </row>
        <row r="631">
          <cell r="C631">
            <v>44739</v>
          </cell>
        </row>
        <row r="632">
          <cell r="C632">
            <v>44740</v>
          </cell>
        </row>
        <row r="633">
          <cell r="C633">
            <v>44741</v>
          </cell>
        </row>
        <row r="634">
          <cell r="C634">
            <v>44742</v>
          </cell>
        </row>
        <row r="635">
          <cell r="C635">
            <v>44743</v>
          </cell>
        </row>
        <row r="636">
          <cell r="C636">
            <v>44744</v>
          </cell>
        </row>
        <row r="637">
          <cell r="C637">
            <v>44745</v>
          </cell>
        </row>
        <row r="638">
          <cell r="C638">
            <v>44746</v>
          </cell>
        </row>
        <row r="639">
          <cell r="C639">
            <v>44747</v>
          </cell>
        </row>
        <row r="640">
          <cell r="C640">
            <v>44748</v>
          </cell>
        </row>
        <row r="641">
          <cell r="C641">
            <v>44749</v>
          </cell>
        </row>
        <row r="642">
          <cell r="C642">
            <v>44750</v>
          </cell>
        </row>
        <row r="643">
          <cell r="C643">
            <v>44751</v>
          </cell>
        </row>
        <row r="644">
          <cell r="C644">
            <v>44752</v>
          </cell>
        </row>
        <row r="645">
          <cell r="C645">
            <v>44753</v>
          </cell>
        </row>
        <row r="646">
          <cell r="C646">
            <v>44754</v>
          </cell>
        </row>
        <row r="647">
          <cell r="C647">
            <v>44755</v>
          </cell>
        </row>
        <row r="648">
          <cell r="C648">
            <v>44756</v>
          </cell>
        </row>
        <row r="649">
          <cell r="C649">
            <v>44757</v>
          </cell>
        </row>
        <row r="650">
          <cell r="C650">
            <v>44758</v>
          </cell>
        </row>
        <row r="651">
          <cell r="C651">
            <v>44759</v>
          </cell>
        </row>
        <row r="652">
          <cell r="C652">
            <v>44760</v>
          </cell>
        </row>
        <row r="653">
          <cell r="C653">
            <v>44761</v>
          </cell>
        </row>
        <row r="654">
          <cell r="C654">
            <v>44762</v>
          </cell>
        </row>
        <row r="655">
          <cell r="C655">
            <v>44763</v>
          </cell>
        </row>
        <row r="656">
          <cell r="C656">
            <v>44764</v>
          </cell>
        </row>
        <row r="657">
          <cell r="C657">
            <v>44765</v>
          </cell>
        </row>
        <row r="658">
          <cell r="C658">
            <v>44766</v>
          </cell>
        </row>
        <row r="659">
          <cell r="C659">
            <v>44767</v>
          </cell>
        </row>
        <row r="660">
          <cell r="C660">
            <v>44768</v>
          </cell>
        </row>
        <row r="661">
          <cell r="C661">
            <v>44769</v>
          </cell>
        </row>
        <row r="662">
          <cell r="C662">
            <v>44770</v>
          </cell>
        </row>
        <row r="663">
          <cell r="C663">
            <v>44771</v>
          </cell>
          <cell r="L663">
            <v>342</v>
          </cell>
        </row>
        <row r="664">
          <cell r="C664">
            <v>44772</v>
          </cell>
          <cell r="L664">
            <v>453</v>
          </cell>
        </row>
        <row r="665">
          <cell r="C665">
            <v>44773</v>
          </cell>
          <cell r="L665">
            <v>338</v>
          </cell>
        </row>
        <row r="666">
          <cell r="C666">
            <v>44774</v>
          </cell>
          <cell r="L666">
            <v>212</v>
          </cell>
        </row>
        <row r="667">
          <cell r="C667">
            <v>44775</v>
          </cell>
          <cell r="L667">
            <v>211</v>
          </cell>
        </row>
        <row r="668">
          <cell r="C668">
            <v>44776</v>
          </cell>
          <cell r="L668">
            <v>302</v>
          </cell>
        </row>
        <row r="669">
          <cell r="C669">
            <v>44777</v>
          </cell>
          <cell r="L669">
            <v>232</v>
          </cell>
        </row>
        <row r="670">
          <cell r="C670">
            <v>44778</v>
          </cell>
          <cell r="L670">
            <v>240</v>
          </cell>
        </row>
        <row r="671">
          <cell r="C671">
            <v>44779</v>
          </cell>
          <cell r="L671">
            <v>489</v>
          </cell>
        </row>
        <row r="672">
          <cell r="C672">
            <v>44780</v>
          </cell>
          <cell r="L672">
            <v>417</v>
          </cell>
        </row>
        <row r="673">
          <cell r="C673">
            <v>44781</v>
          </cell>
          <cell r="L673">
            <v>230</v>
          </cell>
        </row>
        <row r="674">
          <cell r="C674">
            <v>44782</v>
          </cell>
          <cell r="L674">
            <v>146</v>
          </cell>
        </row>
        <row r="675">
          <cell r="C675">
            <v>44783</v>
          </cell>
          <cell r="L675">
            <v>226</v>
          </cell>
        </row>
        <row r="676">
          <cell r="C676">
            <v>44784</v>
          </cell>
          <cell r="L676">
            <v>181</v>
          </cell>
        </row>
        <row r="677">
          <cell r="C677">
            <v>44785</v>
          </cell>
          <cell r="L677">
            <v>221</v>
          </cell>
        </row>
        <row r="678">
          <cell r="C678">
            <v>44786</v>
          </cell>
          <cell r="L678">
            <v>453</v>
          </cell>
        </row>
        <row r="679">
          <cell r="C679">
            <v>44787</v>
          </cell>
          <cell r="L679">
            <v>438</v>
          </cell>
        </row>
        <row r="680">
          <cell r="C680">
            <v>44788</v>
          </cell>
          <cell r="L680">
            <v>474</v>
          </cell>
        </row>
        <row r="681">
          <cell r="C681">
            <v>44789</v>
          </cell>
          <cell r="L681">
            <v>215</v>
          </cell>
        </row>
        <row r="682">
          <cell r="C682">
            <v>44790</v>
          </cell>
          <cell r="L682">
            <v>155</v>
          </cell>
        </row>
        <row r="683">
          <cell r="C683">
            <v>44791</v>
          </cell>
          <cell r="L683">
            <v>183</v>
          </cell>
        </row>
        <row r="684">
          <cell r="C684">
            <v>44792</v>
          </cell>
          <cell r="L684">
            <v>226</v>
          </cell>
        </row>
        <row r="685">
          <cell r="C685">
            <v>44793</v>
          </cell>
          <cell r="L685">
            <v>507</v>
          </cell>
        </row>
        <row r="686">
          <cell r="C686">
            <v>44794</v>
          </cell>
          <cell r="L686">
            <v>395</v>
          </cell>
        </row>
        <row r="687">
          <cell r="C687">
            <v>44795</v>
          </cell>
          <cell r="L687">
            <v>30</v>
          </cell>
        </row>
        <row r="688">
          <cell r="C688">
            <v>44796</v>
          </cell>
          <cell r="L688">
            <v>210</v>
          </cell>
        </row>
        <row r="689">
          <cell r="C689">
            <v>44797</v>
          </cell>
          <cell r="L689">
            <v>194</v>
          </cell>
        </row>
        <row r="690">
          <cell r="C690">
            <v>44798</v>
          </cell>
          <cell r="L690">
            <v>212</v>
          </cell>
        </row>
        <row r="691">
          <cell r="C691">
            <v>44799</v>
          </cell>
          <cell r="L691">
            <v>296</v>
          </cell>
        </row>
        <row r="692">
          <cell r="C692">
            <v>44800</v>
          </cell>
          <cell r="L692">
            <v>602</v>
          </cell>
        </row>
        <row r="693">
          <cell r="C693">
            <v>44801</v>
          </cell>
          <cell r="L693">
            <v>577</v>
          </cell>
        </row>
        <row r="694">
          <cell r="C694">
            <v>44802</v>
          </cell>
          <cell r="L694">
            <v>254</v>
          </cell>
        </row>
        <row r="695">
          <cell r="C695">
            <v>44803</v>
          </cell>
          <cell r="L695">
            <v>212</v>
          </cell>
        </row>
        <row r="696">
          <cell r="C696">
            <v>44804</v>
          </cell>
          <cell r="L696">
            <v>349</v>
          </cell>
        </row>
        <row r="697">
          <cell r="C697">
            <v>44805</v>
          </cell>
          <cell r="L697">
            <v>87</v>
          </cell>
        </row>
        <row r="698">
          <cell r="C698">
            <v>44806</v>
          </cell>
          <cell r="L698">
            <v>163</v>
          </cell>
        </row>
        <row r="699">
          <cell r="C699">
            <v>44807</v>
          </cell>
          <cell r="L699">
            <v>373</v>
          </cell>
        </row>
        <row r="700">
          <cell r="C700">
            <v>44808</v>
          </cell>
          <cell r="L700">
            <v>275</v>
          </cell>
        </row>
        <row r="701">
          <cell r="C701">
            <v>44809</v>
          </cell>
          <cell r="L701">
            <v>96</v>
          </cell>
        </row>
        <row r="702">
          <cell r="C702">
            <v>44810</v>
          </cell>
          <cell r="L702">
            <v>76</v>
          </cell>
        </row>
        <row r="703">
          <cell r="C703">
            <v>44811</v>
          </cell>
          <cell r="L703">
            <v>138</v>
          </cell>
        </row>
        <row r="704">
          <cell r="C704">
            <v>44812</v>
          </cell>
          <cell r="L704">
            <v>127</v>
          </cell>
        </row>
        <row r="705">
          <cell r="C705">
            <v>44813</v>
          </cell>
        </row>
        <row r="706">
          <cell r="C706">
            <v>44814</v>
          </cell>
        </row>
        <row r="707">
          <cell r="C707">
            <v>44815</v>
          </cell>
          <cell r="L707">
            <v>295</v>
          </cell>
        </row>
        <row r="708">
          <cell r="C708">
            <v>44816</v>
          </cell>
          <cell r="L708">
            <v>327</v>
          </cell>
        </row>
        <row r="709">
          <cell r="C709">
            <v>44817</v>
          </cell>
          <cell r="L709">
            <v>77</v>
          </cell>
        </row>
        <row r="710">
          <cell r="C710">
            <v>44818</v>
          </cell>
          <cell r="L710">
            <v>79</v>
          </cell>
        </row>
        <row r="711">
          <cell r="C711">
            <v>44819</v>
          </cell>
          <cell r="L711">
            <v>198</v>
          </cell>
        </row>
        <row r="712">
          <cell r="C712">
            <v>44820</v>
          </cell>
          <cell r="L712">
            <v>234</v>
          </cell>
        </row>
        <row r="713">
          <cell r="C713">
            <v>44821</v>
          </cell>
          <cell r="L713">
            <v>317</v>
          </cell>
        </row>
        <row r="714">
          <cell r="C714">
            <v>44822</v>
          </cell>
          <cell r="L714">
            <v>280</v>
          </cell>
        </row>
        <row r="715">
          <cell r="C715">
            <v>44823</v>
          </cell>
          <cell r="L715">
            <v>125</v>
          </cell>
        </row>
        <row r="716">
          <cell r="C716">
            <v>44824</v>
          </cell>
          <cell r="L716">
            <v>104</v>
          </cell>
        </row>
        <row r="717">
          <cell r="C717">
            <v>44825</v>
          </cell>
          <cell r="L717">
            <v>120</v>
          </cell>
        </row>
        <row r="718">
          <cell r="C718">
            <v>44826</v>
          </cell>
          <cell r="L718">
            <v>86</v>
          </cell>
        </row>
        <row r="719">
          <cell r="C719">
            <v>44827</v>
          </cell>
          <cell r="L719">
            <v>147</v>
          </cell>
        </row>
        <row r="720">
          <cell r="C720">
            <v>44828</v>
          </cell>
          <cell r="L720">
            <v>348</v>
          </cell>
        </row>
        <row r="721">
          <cell r="C721">
            <v>44829</v>
          </cell>
          <cell r="L721">
            <v>262</v>
          </cell>
        </row>
        <row r="722">
          <cell r="C722">
            <v>44830</v>
          </cell>
          <cell r="L722">
            <v>99</v>
          </cell>
        </row>
        <row r="723">
          <cell r="C723">
            <v>44831</v>
          </cell>
          <cell r="L723">
            <v>87</v>
          </cell>
        </row>
        <row r="724">
          <cell r="C724">
            <v>44832</v>
          </cell>
          <cell r="L724">
            <v>169</v>
          </cell>
        </row>
        <row r="725">
          <cell r="C725">
            <v>44833</v>
          </cell>
          <cell r="L725">
            <v>73</v>
          </cell>
        </row>
        <row r="726">
          <cell r="C726">
            <v>44834</v>
          </cell>
          <cell r="L726">
            <v>136</v>
          </cell>
        </row>
        <row r="727">
          <cell r="C727">
            <v>44835</v>
          </cell>
          <cell r="L727">
            <v>400</v>
          </cell>
        </row>
        <row r="728">
          <cell r="C728">
            <v>44836</v>
          </cell>
          <cell r="L728">
            <v>439</v>
          </cell>
        </row>
        <row r="729">
          <cell r="C729">
            <v>44837</v>
          </cell>
          <cell r="L729">
            <v>355</v>
          </cell>
        </row>
        <row r="730">
          <cell r="C730">
            <v>44838</v>
          </cell>
          <cell r="L730">
            <v>61</v>
          </cell>
        </row>
        <row r="731">
          <cell r="C731">
            <v>44839</v>
          </cell>
          <cell r="L731">
            <v>78</v>
          </cell>
        </row>
        <row r="732">
          <cell r="C732">
            <v>44840</v>
          </cell>
          <cell r="L732">
            <v>92</v>
          </cell>
        </row>
        <row r="733">
          <cell r="C733">
            <v>44841</v>
          </cell>
          <cell r="L733">
            <v>134</v>
          </cell>
        </row>
        <row r="734">
          <cell r="C734">
            <v>44842</v>
          </cell>
          <cell r="L734">
            <v>450</v>
          </cell>
        </row>
        <row r="735">
          <cell r="C735">
            <v>44843</v>
          </cell>
          <cell r="L735">
            <v>510</v>
          </cell>
        </row>
        <row r="736">
          <cell r="C736">
            <v>44844</v>
          </cell>
          <cell r="L736">
            <v>372</v>
          </cell>
        </row>
        <row r="737">
          <cell r="C737">
            <v>44845</v>
          </cell>
          <cell r="L737">
            <v>82</v>
          </cell>
        </row>
        <row r="738">
          <cell r="C738">
            <v>44846</v>
          </cell>
          <cell r="L738">
            <v>124</v>
          </cell>
        </row>
        <row r="739">
          <cell r="C739">
            <v>44847</v>
          </cell>
          <cell r="L739">
            <v>70</v>
          </cell>
        </row>
        <row r="740">
          <cell r="C740">
            <v>44848</v>
          </cell>
          <cell r="L740">
            <v>192</v>
          </cell>
        </row>
        <row r="741">
          <cell r="C741">
            <v>44849</v>
          </cell>
          <cell r="L741">
            <v>524</v>
          </cell>
        </row>
        <row r="742">
          <cell r="C742">
            <v>44850</v>
          </cell>
          <cell r="L742">
            <v>445</v>
          </cell>
        </row>
        <row r="743">
          <cell r="C743">
            <v>44851</v>
          </cell>
        </row>
        <row r="744">
          <cell r="C744">
            <v>44852</v>
          </cell>
          <cell r="L744">
            <v>194</v>
          </cell>
        </row>
        <row r="745">
          <cell r="C745">
            <v>44853</v>
          </cell>
          <cell r="L745">
            <v>91</v>
          </cell>
        </row>
        <row r="746">
          <cell r="C746">
            <v>44854</v>
          </cell>
          <cell r="L746">
            <v>110</v>
          </cell>
        </row>
        <row r="747">
          <cell r="C747">
            <v>44855</v>
          </cell>
          <cell r="L747">
            <v>124</v>
          </cell>
        </row>
        <row r="748">
          <cell r="C748">
            <v>44856</v>
          </cell>
          <cell r="L748">
            <v>394</v>
          </cell>
        </row>
        <row r="749">
          <cell r="C749">
            <v>44857</v>
          </cell>
          <cell r="L749">
            <v>469</v>
          </cell>
        </row>
        <row r="750">
          <cell r="C750">
            <v>44858</v>
          </cell>
          <cell r="L750">
            <v>110</v>
          </cell>
        </row>
        <row r="751">
          <cell r="C751">
            <v>44859</v>
          </cell>
          <cell r="L751">
            <v>112</v>
          </cell>
        </row>
        <row r="752">
          <cell r="C752">
            <v>44860</v>
          </cell>
          <cell r="L752">
            <v>192</v>
          </cell>
        </row>
        <row r="753">
          <cell r="C753">
            <v>44861</v>
          </cell>
          <cell r="L753">
            <v>134</v>
          </cell>
        </row>
        <row r="754">
          <cell r="C754">
            <v>44862</v>
          </cell>
          <cell r="L754">
            <v>277</v>
          </cell>
        </row>
        <row r="755">
          <cell r="C755">
            <v>44863</v>
          </cell>
          <cell r="L755">
            <v>457</v>
          </cell>
        </row>
        <row r="756">
          <cell r="C756">
            <v>44864</v>
          </cell>
          <cell r="L756">
            <v>402</v>
          </cell>
        </row>
        <row r="757">
          <cell r="C757">
            <v>44865</v>
          </cell>
          <cell r="L757">
            <v>168</v>
          </cell>
        </row>
        <row r="758">
          <cell r="C758">
            <v>44866</v>
          </cell>
          <cell r="L758">
            <v>164</v>
          </cell>
        </row>
        <row r="759">
          <cell r="C759">
            <v>44867</v>
          </cell>
          <cell r="L759">
            <v>241</v>
          </cell>
        </row>
        <row r="760">
          <cell r="C760">
            <v>44868</v>
          </cell>
          <cell r="L760">
            <v>212</v>
          </cell>
        </row>
        <row r="761">
          <cell r="C761">
            <v>44869</v>
          </cell>
          <cell r="L761">
            <v>278</v>
          </cell>
        </row>
        <row r="762">
          <cell r="C762">
            <v>44870</v>
          </cell>
          <cell r="L762">
            <v>799</v>
          </cell>
        </row>
        <row r="763">
          <cell r="C763">
            <v>44871</v>
          </cell>
          <cell r="L763">
            <v>816</v>
          </cell>
        </row>
        <row r="764">
          <cell r="C764">
            <v>44872</v>
          </cell>
        </row>
        <row r="765">
          <cell r="C765">
            <v>44873</v>
          </cell>
        </row>
        <row r="766">
          <cell r="C766">
            <v>44874</v>
          </cell>
        </row>
        <row r="767">
          <cell r="C767">
            <v>44875</v>
          </cell>
        </row>
        <row r="768">
          <cell r="C768">
            <v>44876</v>
          </cell>
        </row>
        <row r="769">
          <cell r="C769">
            <v>44877</v>
          </cell>
        </row>
        <row r="770">
          <cell r="C770">
            <v>44878</v>
          </cell>
        </row>
        <row r="771">
          <cell r="C771">
            <v>44879</v>
          </cell>
        </row>
        <row r="772">
          <cell r="C772">
            <v>44880</v>
          </cell>
        </row>
        <row r="773">
          <cell r="C773">
            <v>44881</v>
          </cell>
        </row>
        <row r="774">
          <cell r="C774">
            <v>44882</v>
          </cell>
        </row>
        <row r="775">
          <cell r="C775">
            <v>44883</v>
          </cell>
        </row>
        <row r="776">
          <cell r="C776">
            <v>44884</v>
          </cell>
        </row>
        <row r="777">
          <cell r="C777">
            <v>44885</v>
          </cell>
        </row>
        <row r="778">
          <cell r="C778">
            <v>44886</v>
          </cell>
        </row>
        <row r="779">
          <cell r="C779">
            <v>44887</v>
          </cell>
        </row>
        <row r="780">
          <cell r="C780">
            <v>44888</v>
          </cell>
        </row>
        <row r="781">
          <cell r="C781">
            <v>44889</v>
          </cell>
        </row>
        <row r="782">
          <cell r="C782">
            <v>44890</v>
          </cell>
        </row>
        <row r="783">
          <cell r="C783">
            <v>44891</v>
          </cell>
        </row>
        <row r="784">
          <cell r="C784">
            <v>44892</v>
          </cell>
        </row>
        <row r="785">
          <cell r="C785">
            <v>44893</v>
          </cell>
        </row>
        <row r="786">
          <cell r="C786">
            <v>44894</v>
          </cell>
        </row>
        <row r="787">
          <cell r="C787">
            <v>44895</v>
          </cell>
        </row>
        <row r="788">
          <cell r="C788">
            <v>44896</v>
          </cell>
        </row>
        <row r="789">
          <cell r="C789">
            <v>44897</v>
          </cell>
        </row>
        <row r="790">
          <cell r="C790">
            <v>44898</v>
          </cell>
        </row>
        <row r="791">
          <cell r="C791">
            <v>44899</v>
          </cell>
        </row>
        <row r="792">
          <cell r="C792">
            <v>44900</v>
          </cell>
        </row>
        <row r="793">
          <cell r="C793">
            <v>44901</v>
          </cell>
        </row>
        <row r="794">
          <cell r="C794">
            <v>44902</v>
          </cell>
        </row>
        <row r="795">
          <cell r="C795">
            <v>44903</v>
          </cell>
        </row>
        <row r="796">
          <cell r="C796">
            <v>44904</v>
          </cell>
        </row>
        <row r="797">
          <cell r="C797">
            <v>44905</v>
          </cell>
        </row>
        <row r="798">
          <cell r="C798">
            <v>44906</v>
          </cell>
        </row>
        <row r="799">
          <cell r="C799">
            <v>44907</v>
          </cell>
        </row>
        <row r="800">
          <cell r="C800">
            <v>44908</v>
          </cell>
        </row>
        <row r="801">
          <cell r="C801">
            <v>44909</v>
          </cell>
        </row>
        <row r="802">
          <cell r="C802">
            <v>44910</v>
          </cell>
        </row>
        <row r="803">
          <cell r="C803">
            <v>44911</v>
          </cell>
        </row>
        <row r="804">
          <cell r="C804">
            <v>44912</v>
          </cell>
        </row>
        <row r="805">
          <cell r="C805">
            <v>44913</v>
          </cell>
        </row>
        <row r="806">
          <cell r="C806">
            <v>44914</v>
          </cell>
        </row>
        <row r="807">
          <cell r="C807">
            <v>44915</v>
          </cell>
        </row>
        <row r="808">
          <cell r="C808">
            <v>44916</v>
          </cell>
        </row>
        <row r="809">
          <cell r="C809">
            <v>44917</v>
          </cell>
        </row>
        <row r="810">
          <cell r="C810">
            <v>44918</v>
          </cell>
        </row>
        <row r="811">
          <cell r="C811">
            <v>44919</v>
          </cell>
          <cell r="L811">
            <v>1532</v>
          </cell>
        </row>
        <row r="812">
          <cell r="C812">
            <v>44920</v>
          </cell>
          <cell r="L812">
            <v>1116</v>
          </cell>
        </row>
        <row r="813">
          <cell r="C813">
            <v>44921</v>
          </cell>
          <cell r="L813">
            <v>632</v>
          </cell>
        </row>
        <row r="814">
          <cell r="C814">
            <v>44922</v>
          </cell>
          <cell r="L814">
            <v>575</v>
          </cell>
        </row>
        <row r="815">
          <cell r="C815">
            <v>44923</v>
          </cell>
          <cell r="L815">
            <v>573</v>
          </cell>
        </row>
        <row r="816">
          <cell r="C816">
            <v>44924</v>
          </cell>
          <cell r="L816">
            <v>610</v>
          </cell>
        </row>
        <row r="817">
          <cell r="C817">
            <v>44925</v>
          </cell>
          <cell r="L817">
            <v>747</v>
          </cell>
        </row>
        <row r="818">
          <cell r="C818">
            <v>44926</v>
          </cell>
          <cell r="L818">
            <v>787</v>
          </cell>
        </row>
        <row r="819">
          <cell r="C819">
            <v>44927</v>
          </cell>
        </row>
        <row r="820">
          <cell r="C820">
            <v>44928</v>
          </cell>
          <cell r="L820">
            <v>349</v>
          </cell>
        </row>
        <row r="821">
          <cell r="C821">
            <v>44929</v>
          </cell>
          <cell r="L821">
            <v>367</v>
          </cell>
        </row>
        <row r="822">
          <cell r="C822">
            <v>44930</v>
          </cell>
          <cell r="L822">
            <v>302</v>
          </cell>
        </row>
        <row r="823">
          <cell r="C823">
            <v>44931</v>
          </cell>
          <cell r="L823">
            <v>339</v>
          </cell>
        </row>
        <row r="824">
          <cell r="C824">
            <v>44932</v>
          </cell>
          <cell r="L824">
            <v>415</v>
          </cell>
        </row>
        <row r="825">
          <cell r="C825">
            <v>44933</v>
          </cell>
          <cell r="L825">
            <v>1098</v>
          </cell>
        </row>
        <row r="826">
          <cell r="C826">
            <v>44934</v>
          </cell>
          <cell r="L826">
            <v>959</v>
          </cell>
        </row>
        <row r="827">
          <cell r="C827">
            <v>44935</v>
          </cell>
          <cell r="L827">
            <v>395</v>
          </cell>
        </row>
        <row r="828">
          <cell r="C828">
            <v>44936</v>
          </cell>
          <cell r="L828">
            <v>350</v>
          </cell>
        </row>
        <row r="829">
          <cell r="C829">
            <v>44937</v>
          </cell>
          <cell r="L829">
            <v>424</v>
          </cell>
        </row>
        <row r="830">
          <cell r="C830">
            <v>44938</v>
          </cell>
          <cell r="L830">
            <v>407</v>
          </cell>
        </row>
        <row r="831">
          <cell r="C831">
            <v>44939</v>
          </cell>
          <cell r="L831">
            <v>462</v>
          </cell>
        </row>
        <row r="832">
          <cell r="C832">
            <v>44940</v>
          </cell>
          <cell r="L832">
            <v>1337</v>
          </cell>
        </row>
        <row r="833">
          <cell r="C833">
            <v>44941</v>
          </cell>
          <cell r="L833">
            <v>928</v>
          </cell>
        </row>
        <row r="834">
          <cell r="C834">
            <v>44942</v>
          </cell>
          <cell r="L834">
            <v>420</v>
          </cell>
        </row>
        <row r="835">
          <cell r="C835">
            <v>44943</v>
          </cell>
          <cell r="L835">
            <v>382</v>
          </cell>
        </row>
        <row r="836">
          <cell r="C836">
            <v>44944</v>
          </cell>
          <cell r="L836">
            <v>365</v>
          </cell>
        </row>
        <row r="837">
          <cell r="C837">
            <v>44945</v>
          </cell>
          <cell r="L837">
            <v>319</v>
          </cell>
        </row>
        <row r="838">
          <cell r="C838">
            <v>44946</v>
          </cell>
          <cell r="L838">
            <v>510</v>
          </cell>
        </row>
        <row r="839">
          <cell r="C839">
            <v>44947</v>
          </cell>
        </row>
        <row r="840">
          <cell r="C840">
            <v>44948</v>
          </cell>
        </row>
        <row r="841">
          <cell r="C841">
            <v>44949</v>
          </cell>
          <cell r="L841">
            <v>809</v>
          </cell>
        </row>
        <row r="842">
          <cell r="C842">
            <v>44950</v>
          </cell>
          <cell r="L842">
            <v>694</v>
          </cell>
        </row>
        <row r="843">
          <cell r="C843">
            <v>44951</v>
          </cell>
          <cell r="L843">
            <v>424</v>
          </cell>
        </row>
        <row r="844">
          <cell r="C844">
            <v>44952</v>
          </cell>
          <cell r="L844">
            <v>406</v>
          </cell>
        </row>
        <row r="845">
          <cell r="C845">
            <v>44953</v>
          </cell>
          <cell r="L845">
            <v>592</v>
          </cell>
        </row>
        <row r="846">
          <cell r="C846">
            <v>44954</v>
          </cell>
          <cell r="L846">
            <v>1310</v>
          </cell>
        </row>
        <row r="847">
          <cell r="C847">
            <v>44955</v>
          </cell>
          <cell r="L847">
            <v>1277</v>
          </cell>
        </row>
        <row r="848">
          <cell r="C848">
            <v>44956</v>
          </cell>
          <cell r="L848">
            <v>695</v>
          </cell>
        </row>
        <row r="849">
          <cell r="C849">
            <v>44957</v>
          </cell>
          <cell r="L849">
            <v>677</v>
          </cell>
        </row>
        <row r="850">
          <cell r="C850">
            <v>44958</v>
          </cell>
          <cell r="L850">
            <v>198</v>
          </cell>
        </row>
        <row r="851">
          <cell r="C851">
            <v>44959</v>
          </cell>
          <cell r="L851">
            <v>186</v>
          </cell>
        </row>
        <row r="852">
          <cell r="C852">
            <v>44960</v>
          </cell>
          <cell r="L852">
            <v>256</v>
          </cell>
        </row>
        <row r="853">
          <cell r="C853">
            <v>44961</v>
          </cell>
          <cell r="L853">
            <v>638</v>
          </cell>
        </row>
        <row r="854">
          <cell r="C854">
            <v>44962</v>
          </cell>
          <cell r="L854">
            <v>507</v>
          </cell>
        </row>
        <row r="855">
          <cell r="C855">
            <v>44963</v>
          </cell>
          <cell r="L855">
            <v>258</v>
          </cell>
        </row>
        <row r="856">
          <cell r="C856">
            <v>44964</v>
          </cell>
          <cell r="L856">
            <v>245</v>
          </cell>
        </row>
        <row r="857">
          <cell r="C857">
            <v>44965</v>
          </cell>
          <cell r="L857">
            <v>195</v>
          </cell>
        </row>
        <row r="858">
          <cell r="C858">
            <v>44966</v>
          </cell>
          <cell r="L858">
            <v>190</v>
          </cell>
        </row>
        <row r="859">
          <cell r="C859">
            <v>44967</v>
          </cell>
          <cell r="L859">
            <v>294</v>
          </cell>
        </row>
        <row r="860">
          <cell r="C860">
            <v>44968</v>
          </cell>
          <cell r="L860">
            <v>638</v>
          </cell>
        </row>
        <row r="861">
          <cell r="C861">
            <v>44969</v>
          </cell>
          <cell r="L861">
            <v>529</v>
          </cell>
        </row>
        <row r="862">
          <cell r="C862">
            <v>44970</v>
          </cell>
          <cell r="L862">
            <v>280</v>
          </cell>
        </row>
        <row r="863">
          <cell r="C863">
            <v>44971</v>
          </cell>
          <cell r="L863">
            <v>348</v>
          </cell>
        </row>
        <row r="864">
          <cell r="C864">
            <v>44972</v>
          </cell>
          <cell r="L864">
            <v>241</v>
          </cell>
        </row>
        <row r="865">
          <cell r="C865">
            <v>44973</v>
          </cell>
          <cell r="L865">
            <v>239</v>
          </cell>
        </row>
        <row r="866">
          <cell r="C866">
            <v>44974</v>
          </cell>
          <cell r="L866">
            <v>273</v>
          </cell>
        </row>
        <row r="867">
          <cell r="C867">
            <v>44975</v>
          </cell>
          <cell r="L867">
            <v>573</v>
          </cell>
        </row>
        <row r="868">
          <cell r="C868">
            <v>44976</v>
          </cell>
          <cell r="L868">
            <v>504</v>
          </cell>
        </row>
        <row r="869">
          <cell r="C869">
            <v>44977</v>
          </cell>
          <cell r="L869">
            <v>224</v>
          </cell>
        </row>
        <row r="870">
          <cell r="C870">
            <v>44978</v>
          </cell>
          <cell r="L870">
            <v>196</v>
          </cell>
        </row>
        <row r="871">
          <cell r="C871">
            <v>44979</v>
          </cell>
          <cell r="L871">
            <v>471</v>
          </cell>
        </row>
        <row r="872">
          <cell r="C872">
            <v>44980</v>
          </cell>
          <cell r="L872">
            <v>228</v>
          </cell>
        </row>
        <row r="873">
          <cell r="C873">
            <v>44981</v>
          </cell>
          <cell r="L873">
            <v>234</v>
          </cell>
        </row>
        <row r="874">
          <cell r="C874">
            <v>44982</v>
          </cell>
          <cell r="L874">
            <v>554</v>
          </cell>
        </row>
        <row r="875">
          <cell r="C875">
            <v>44983</v>
          </cell>
          <cell r="L875">
            <v>465</v>
          </cell>
        </row>
        <row r="876">
          <cell r="C876">
            <v>44984</v>
          </cell>
          <cell r="L876">
            <v>259</v>
          </cell>
        </row>
        <row r="877">
          <cell r="C877">
            <v>44985</v>
          </cell>
          <cell r="L877">
            <v>246</v>
          </cell>
        </row>
        <row r="878">
          <cell r="C878">
            <v>44986</v>
          </cell>
          <cell r="L878">
            <v>526</v>
          </cell>
        </row>
        <row r="879">
          <cell r="C879">
            <v>44987</v>
          </cell>
          <cell r="L879">
            <v>137</v>
          </cell>
        </row>
        <row r="880">
          <cell r="C880">
            <v>44988</v>
          </cell>
          <cell r="L880">
            <v>192</v>
          </cell>
        </row>
        <row r="881">
          <cell r="C881">
            <v>44989</v>
          </cell>
          <cell r="L881">
            <v>460</v>
          </cell>
        </row>
        <row r="882">
          <cell r="C882">
            <v>44990</v>
          </cell>
          <cell r="L882">
            <v>447</v>
          </cell>
        </row>
        <row r="883">
          <cell r="C883">
            <v>44991</v>
          </cell>
          <cell r="L883">
            <v>44</v>
          </cell>
        </row>
        <row r="884">
          <cell r="C884">
            <v>44992</v>
          </cell>
          <cell r="L884">
            <v>130</v>
          </cell>
        </row>
        <row r="885">
          <cell r="C885">
            <v>44993</v>
          </cell>
          <cell r="L885">
            <v>179</v>
          </cell>
        </row>
        <row r="886">
          <cell r="C886">
            <v>44994</v>
          </cell>
          <cell r="L886">
            <v>152</v>
          </cell>
        </row>
        <row r="887">
          <cell r="C887">
            <v>44995</v>
          </cell>
          <cell r="L887">
            <v>213</v>
          </cell>
        </row>
        <row r="888">
          <cell r="C888">
            <v>44996</v>
          </cell>
          <cell r="L888">
            <v>575</v>
          </cell>
        </row>
        <row r="889">
          <cell r="C889">
            <v>44997</v>
          </cell>
          <cell r="L889">
            <v>417</v>
          </cell>
        </row>
        <row r="890">
          <cell r="C890">
            <v>44998</v>
          </cell>
          <cell r="L890">
            <v>164</v>
          </cell>
        </row>
        <row r="891">
          <cell r="C891">
            <v>44999</v>
          </cell>
          <cell r="L891">
            <v>197</v>
          </cell>
        </row>
        <row r="892">
          <cell r="C892">
            <v>45000</v>
          </cell>
          <cell r="L892">
            <v>168</v>
          </cell>
        </row>
        <row r="893">
          <cell r="C893">
            <v>45001</v>
          </cell>
          <cell r="L893">
            <v>185</v>
          </cell>
        </row>
        <row r="894">
          <cell r="C894">
            <v>45002</v>
          </cell>
          <cell r="L894">
            <v>232</v>
          </cell>
        </row>
        <row r="895">
          <cell r="C895">
            <v>45003</v>
          </cell>
          <cell r="L895">
            <v>739</v>
          </cell>
        </row>
        <row r="896">
          <cell r="C896">
            <v>45004</v>
          </cell>
          <cell r="L896">
            <v>587</v>
          </cell>
        </row>
        <row r="897">
          <cell r="C897">
            <v>45005</v>
          </cell>
          <cell r="L897">
            <v>293</v>
          </cell>
        </row>
        <row r="898">
          <cell r="C898">
            <v>45006</v>
          </cell>
          <cell r="L898">
            <v>271</v>
          </cell>
        </row>
        <row r="899">
          <cell r="C899">
            <v>45007</v>
          </cell>
          <cell r="L899">
            <v>280</v>
          </cell>
        </row>
        <row r="900">
          <cell r="C900">
            <v>45008</v>
          </cell>
          <cell r="L900">
            <v>382</v>
          </cell>
        </row>
        <row r="901">
          <cell r="C901">
            <v>45009</v>
          </cell>
          <cell r="L901">
            <v>586</v>
          </cell>
        </row>
        <row r="902">
          <cell r="C902">
            <v>45010</v>
          </cell>
          <cell r="L902">
            <v>1007</v>
          </cell>
        </row>
        <row r="903">
          <cell r="C903">
            <v>45011</v>
          </cell>
          <cell r="L903">
            <v>929</v>
          </cell>
        </row>
        <row r="904">
          <cell r="C904">
            <v>45012</v>
          </cell>
        </row>
        <row r="905">
          <cell r="C905">
            <v>45013</v>
          </cell>
        </row>
        <row r="906">
          <cell r="C906">
            <v>45014</v>
          </cell>
        </row>
        <row r="907">
          <cell r="C907">
            <v>45015</v>
          </cell>
        </row>
        <row r="908">
          <cell r="C908">
            <v>45016</v>
          </cell>
        </row>
        <row r="909">
          <cell r="C909">
            <v>45017</v>
          </cell>
        </row>
        <row r="910">
          <cell r="C910">
            <v>45018</v>
          </cell>
        </row>
        <row r="911">
          <cell r="C911">
            <v>45019</v>
          </cell>
        </row>
        <row r="912">
          <cell r="C912">
            <v>45020</v>
          </cell>
        </row>
        <row r="913">
          <cell r="C913">
            <v>45021</v>
          </cell>
        </row>
        <row r="914">
          <cell r="C914">
            <v>45022</v>
          </cell>
        </row>
        <row r="915">
          <cell r="C915">
            <v>45023</v>
          </cell>
        </row>
        <row r="916">
          <cell r="C916">
            <v>45024</v>
          </cell>
        </row>
        <row r="917">
          <cell r="C917">
            <v>45025</v>
          </cell>
        </row>
        <row r="918">
          <cell r="C918">
            <v>45026</v>
          </cell>
        </row>
        <row r="919">
          <cell r="C919">
            <v>45027</v>
          </cell>
        </row>
        <row r="920">
          <cell r="C920">
            <v>45028</v>
          </cell>
        </row>
        <row r="921">
          <cell r="C921">
            <v>45029</v>
          </cell>
        </row>
        <row r="922">
          <cell r="C922">
            <v>45030</v>
          </cell>
        </row>
        <row r="923">
          <cell r="C923">
            <v>45031</v>
          </cell>
        </row>
        <row r="924">
          <cell r="C924">
            <v>45032</v>
          </cell>
        </row>
        <row r="925">
          <cell r="C925">
            <v>45033</v>
          </cell>
        </row>
        <row r="926">
          <cell r="C926">
            <v>45034</v>
          </cell>
        </row>
        <row r="927">
          <cell r="C927">
            <v>45035</v>
          </cell>
        </row>
        <row r="928">
          <cell r="C928">
            <v>45036</v>
          </cell>
        </row>
        <row r="929">
          <cell r="C929">
            <v>45037</v>
          </cell>
        </row>
        <row r="930">
          <cell r="C930">
            <v>45038</v>
          </cell>
        </row>
        <row r="931">
          <cell r="C931">
            <v>45039</v>
          </cell>
        </row>
        <row r="932">
          <cell r="C932">
            <v>45040</v>
          </cell>
        </row>
        <row r="933">
          <cell r="C933">
            <v>45041</v>
          </cell>
        </row>
        <row r="934">
          <cell r="C934">
            <v>45042</v>
          </cell>
        </row>
        <row r="935">
          <cell r="C935">
            <v>45043</v>
          </cell>
        </row>
        <row r="936">
          <cell r="C936">
            <v>45044</v>
          </cell>
        </row>
        <row r="937">
          <cell r="C937">
            <v>45045</v>
          </cell>
        </row>
        <row r="938">
          <cell r="C938">
            <v>45046</v>
          </cell>
        </row>
        <row r="939">
          <cell r="C939">
            <v>45047</v>
          </cell>
        </row>
        <row r="940">
          <cell r="C940">
            <v>45048</v>
          </cell>
        </row>
        <row r="941">
          <cell r="C941">
            <v>45049</v>
          </cell>
          <cell r="L941">
            <v>106</v>
          </cell>
        </row>
        <row r="942">
          <cell r="C942">
            <v>45050</v>
          </cell>
          <cell r="L942">
            <v>107</v>
          </cell>
        </row>
        <row r="943">
          <cell r="C943">
            <v>45051</v>
          </cell>
          <cell r="L943">
            <v>287</v>
          </cell>
        </row>
        <row r="944">
          <cell r="C944">
            <v>45052</v>
          </cell>
          <cell r="L944">
            <v>205</v>
          </cell>
        </row>
        <row r="945">
          <cell r="C945">
            <v>45053</v>
          </cell>
          <cell r="L945">
            <v>115</v>
          </cell>
        </row>
        <row r="946">
          <cell r="C946">
            <v>45054</v>
          </cell>
          <cell r="L946">
            <v>64</v>
          </cell>
        </row>
        <row r="947">
          <cell r="C947">
            <v>45055</v>
          </cell>
          <cell r="L947">
            <v>106</v>
          </cell>
        </row>
        <row r="948">
          <cell r="C948">
            <v>45056</v>
          </cell>
          <cell r="L948">
            <v>54</v>
          </cell>
        </row>
        <row r="949">
          <cell r="C949">
            <v>45057</v>
          </cell>
          <cell r="L949">
            <v>96</v>
          </cell>
        </row>
        <row r="950">
          <cell r="C950">
            <v>45058</v>
          </cell>
          <cell r="L950">
            <v>101</v>
          </cell>
        </row>
        <row r="951">
          <cell r="C951">
            <v>45059</v>
          </cell>
          <cell r="L951">
            <v>282</v>
          </cell>
        </row>
        <row r="952">
          <cell r="C952">
            <v>45060</v>
          </cell>
          <cell r="L952">
            <v>173</v>
          </cell>
        </row>
        <row r="953">
          <cell r="C953">
            <v>45061</v>
          </cell>
          <cell r="L953">
            <v>85</v>
          </cell>
        </row>
        <row r="954">
          <cell r="C954">
            <v>45062</v>
          </cell>
          <cell r="L954">
            <v>84</v>
          </cell>
        </row>
        <row r="955">
          <cell r="C955">
            <v>45063</v>
          </cell>
          <cell r="L955">
            <v>111</v>
          </cell>
        </row>
        <row r="956">
          <cell r="C956">
            <v>45064</v>
          </cell>
          <cell r="L956">
            <v>107</v>
          </cell>
        </row>
        <row r="957">
          <cell r="C957">
            <v>45065</v>
          </cell>
          <cell r="L957">
            <v>134</v>
          </cell>
        </row>
        <row r="958">
          <cell r="C958">
            <v>45066</v>
          </cell>
          <cell r="L958">
            <v>213</v>
          </cell>
        </row>
        <row r="959">
          <cell r="C959">
            <v>45067</v>
          </cell>
          <cell r="L959">
            <v>184</v>
          </cell>
        </row>
        <row r="960">
          <cell r="C960">
            <v>45068</v>
          </cell>
          <cell r="L960">
            <v>59</v>
          </cell>
        </row>
        <row r="961">
          <cell r="C961">
            <v>45069</v>
          </cell>
          <cell r="L961">
            <v>100</v>
          </cell>
        </row>
        <row r="962">
          <cell r="C962">
            <v>45070</v>
          </cell>
          <cell r="L962">
            <v>73</v>
          </cell>
        </row>
        <row r="963">
          <cell r="C963">
            <v>45071</v>
          </cell>
          <cell r="L963">
            <v>97</v>
          </cell>
        </row>
        <row r="964">
          <cell r="C964">
            <v>45072</v>
          </cell>
          <cell r="L964">
            <v>112</v>
          </cell>
        </row>
        <row r="965">
          <cell r="C965">
            <v>45073</v>
          </cell>
          <cell r="L965">
            <v>266</v>
          </cell>
        </row>
        <row r="966">
          <cell r="C966">
            <v>45074</v>
          </cell>
          <cell r="L966">
            <v>204</v>
          </cell>
        </row>
        <row r="967">
          <cell r="C967">
            <v>45075</v>
          </cell>
          <cell r="L967">
            <v>200</v>
          </cell>
        </row>
        <row r="968">
          <cell r="C968">
            <v>45076</v>
          </cell>
          <cell r="L968">
            <v>68</v>
          </cell>
        </row>
        <row r="969">
          <cell r="C969">
            <v>45077</v>
          </cell>
          <cell r="L969">
            <v>128</v>
          </cell>
        </row>
        <row r="970">
          <cell r="C970">
            <v>45078</v>
          </cell>
          <cell r="L970">
            <v>54</v>
          </cell>
        </row>
        <row r="971">
          <cell r="C971">
            <v>45079</v>
          </cell>
          <cell r="L971">
            <v>122</v>
          </cell>
        </row>
        <row r="972">
          <cell r="C972">
            <v>45080</v>
          </cell>
          <cell r="L972">
            <v>157</v>
          </cell>
        </row>
        <row r="973">
          <cell r="C973">
            <v>45081</v>
          </cell>
          <cell r="L973">
            <v>164</v>
          </cell>
        </row>
        <row r="974">
          <cell r="C974">
            <v>45082</v>
          </cell>
          <cell r="L974">
            <v>125</v>
          </cell>
        </row>
        <row r="975">
          <cell r="C975">
            <v>45083</v>
          </cell>
          <cell r="L975">
            <v>131</v>
          </cell>
        </row>
        <row r="976">
          <cell r="C976">
            <v>45084</v>
          </cell>
          <cell r="L976">
            <v>83</v>
          </cell>
        </row>
        <row r="977">
          <cell r="C977">
            <v>45085</v>
          </cell>
          <cell r="L977">
            <v>97</v>
          </cell>
        </row>
        <row r="978">
          <cell r="C978">
            <v>45086</v>
          </cell>
          <cell r="L978">
            <v>68</v>
          </cell>
        </row>
        <row r="979">
          <cell r="C979">
            <v>45087</v>
          </cell>
          <cell r="L979">
            <v>195</v>
          </cell>
        </row>
        <row r="980">
          <cell r="C980">
            <v>45088</v>
          </cell>
          <cell r="L980">
            <v>158</v>
          </cell>
        </row>
        <row r="981">
          <cell r="C981">
            <v>45089</v>
          </cell>
          <cell r="L981">
            <v>25</v>
          </cell>
        </row>
        <row r="982">
          <cell r="C982">
            <v>45090</v>
          </cell>
          <cell r="L982">
            <v>122</v>
          </cell>
        </row>
        <row r="983">
          <cell r="C983">
            <v>45091</v>
          </cell>
          <cell r="L983">
            <v>102</v>
          </cell>
        </row>
        <row r="984">
          <cell r="C984">
            <v>45092</v>
          </cell>
          <cell r="L984">
            <v>74</v>
          </cell>
        </row>
        <row r="985">
          <cell r="C985">
            <v>45093</v>
          </cell>
          <cell r="L985">
            <v>159</v>
          </cell>
        </row>
        <row r="986">
          <cell r="C986">
            <v>45094</v>
          </cell>
          <cell r="L986">
            <v>194</v>
          </cell>
        </row>
        <row r="987">
          <cell r="C987">
            <v>45095</v>
          </cell>
          <cell r="L987">
            <v>154</v>
          </cell>
        </row>
        <row r="988">
          <cell r="C988">
            <v>45096</v>
          </cell>
          <cell r="L988">
            <v>84</v>
          </cell>
        </row>
        <row r="989">
          <cell r="C989">
            <v>45097</v>
          </cell>
          <cell r="L989">
            <v>62</v>
          </cell>
        </row>
        <row r="990">
          <cell r="C990">
            <v>45098</v>
          </cell>
          <cell r="L990">
            <v>84</v>
          </cell>
        </row>
        <row r="991">
          <cell r="C991">
            <v>45099</v>
          </cell>
          <cell r="L991">
            <v>140</v>
          </cell>
        </row>
        <row r="992">
          <cell r="C992">
            <v>45100</v>
          </cell>
          <cell r="L992">
            <v>106</v>
          </cell>
        </row>
        <row r="993">
          <cell r="C993">
            <v>45101</v>
          </cell>
          <cell r="L993">
            <v>189</v>
          </cell>
        </row>
        <row r="994">
          <cell r="C994">
            <v>45102</v>
          </cell>
          <cell r="L994">
            <v>177</v>
          </cell>
        </row>
        <row r="995">
          <cell r="C995">
            <v>45103</v>
          </cell>
          <cell r="L995">
            <v>65</v>
          </cell>
        </row>
        <row r="996">
          <cell r="C996">
            <v>45104</v>
          </cell>
          <cell r="L996">
            <v>76</v>
          </cell>
        </row>
        <row r="997">
          <cell r="C997">
            <v>45105</v>
          </cell>
          <cell r="L997">
            <v>150</v>
          </cell>
        </row>
        <row r="998">
          <cell r="C998">
            <v>45106</v>
          </cell>
          <cell r="L998">
            <v>110</v>
          </cell>
        </row>
        <row r="999">
          <cell r="C999">
            <v>45107</v>
          </cell>
          <cell r="L999">
            <v>145</v>
          </cell>
        </row>
        <row r="1000">
          <cell r="C1000">
            <v>45108</v>
          </cell>
          <cell r="L1000">
            <v>223</v>
          </cell>
        </row>
        <row r="1001">
          <cell r="C1001">
            <v>45109</v>
          </cell>
          <cell r="L1001">
            <v>318</v>
          </cell>
        </row>
        <row r="1002">
          <cell r="C1002">
            <v>45110</v>
          </cell>
          <cell r="L1002">
            <v>140</v>
          </cell>
        </row>
        <row r="1003">
          <cell r="C1003">
            <v>45111</v>
          </cell>
          <cell r="L1003">
            <v>81</v>
          </cell>
        </row>
        <row r="1004">
          <cell r="C1004">
            <v>45112</v>
          </cell>
          <cell r="L1004">
            <v>137</v>
          </cell>
        </row>
        <row r="1005">
          <cell r="C1005">
            <v>45113</v>
          </cell>
          <cell r="L1005">
            <v>120</v>
          </cell>
        </row>
        <row r="1006">
          <cell r="C1006">
            <v>45114</v>
          </cell>
          <cell r="L1006">
            <v>166</v>
          </cell>
        </row>
        <row r="1007">
          <cell r="C1007">
            <v>45115</v>
          </cell>
          <cell r="L1007">
            <v>251</v>
          </cell>
        </row>
        <row r="1008">
          <cell r="C1008">
            <v>45116</v>
          </cell>
          <cell r="L1008">
            <v>323</v>
          </cell>
        </row>
        <row r="1009">
          <cell r="C1009">
            <v>45117</v>
          </cell>
          <cell r="L1009">
            <v>21</v>
          </cell>
        </row>
        <row r="1010">
          <cell r="C1010">
            <v>45118</v>
          </cell>
          <cell r="L1010">
            <v>123</v>
          </cell>
        </row>
        <row r="1011">
          <cell r="C1011">
            <v>45119</v>
          </cell>
          <cell r="L1011">
            <v>148</v>
          </cell>
        </row>
        <row r="1012">
          <cell r="C1012">
            <v>45120</v>
          </cell>
          <cell r="L1012">
            <v>81</v>
          </cell>
        </row>
        <row r="1013">
          <cell r="C1013">
            <v>45121</v>
          </cell>
          <cell r="L1013">
            <v>400</v>
          </cell>
        </row>
        <row r="1014">
          <cell r="C1014">
            <v>45122</v>
          </cell>
          <cell r="L1014">
            <v>408</v>
          </cell>
        </row>
        <row r="1015">
          <cell r="C1015">
            <v>45123</v>
          </cell>
          <cell r="L1015">
            <v>384</v>
          </cell>
        </row>
        <row r="1016">
          <cell r="C1016">
            <v>45124</v>
          </cell>
          <cell r="L1016">
            <v>147</v>
          </cell>
        </row>
        <row r="1017">
          <cell r="C1017">
            <v>45125</v>
          </cell>
          <cell r="L1017">
            <v>87</v>
          </cell>
        </row>
        <row r="1018">
          <cell r="C1018">
            <v>45126</v>
          </cell>
          <cell r="L1018">
            <v>122</v>
          </cell>
        </row>
        <row r="1019">
          <cell r="C1019">
            <v>45127</v>
          </cell>
          <cell r="L1019">
            <v>126</v>
          </cell>
        </row>
        <row r="1020">
          <cell r="C1020">
            <v>45128</v>
          </cell>
          <cell r="L1020">
            <v>194</v>
          </cell>
        </row>
        <row r="1021">
          <cell r="C1021">
            <v>45129</v>
          </cell>
          <cell r="L1021">
            <v>497</v>
          </cell>
        </row>
        <row r="1022">
          <cell r="C1022">
            <v>45130</v>
          </cell>
          <cell r="L1022">
            <v>437</v>
          </cell>
        </row>
        <row r="1023">
          <cell r="C1023">
            <v>45131</v>
          </cell>
          <cell r="L1023">
            <v>197</v>
          </cell>
        </row>
        <row r="1024">
          <cell r="C1024">
            <v>45132</v>
          </cell>
          <cell r="L1024">
            <v>175</v>
          </cell>
        </row>
        <row r="1025">
          <cell r="C1025">
            <v>45133</v>
          </cell>
          <cell r="L1025">
            <v>288</v>
          </cell>
        </row>
        <row r="1026">
          <cell r="C1026">
            <v>45134</v>
          </cell>
          <cell r="L1026">
            <v>211</v>
          </cell>
        </row>
        <row r="1027">
          <cell r="C1027">
            <v>45135</v>
          </cell>
          <cell r="L1027">
            <v>264</v>
          </cell>
        </row>
        <row r="1028">
          <cell r="C1028">
            <v>45136</v>
          </cell>
          <cell r="L1028">
            <v>695</v>
          </cell>
        </row>
        <row r="1029">
          <cell r="C1029">
            <v>45137</v>
          </cell>
          <cell r="L1029">
            <v>649</v>
          </cell>
        </row>
        <row r="1030">
          <cell r="C1030">
            <v>45138</v>
          </cell>
          <cell r="L1030">
            <v>314</v>
          </cell>
        </row>
        <row r="1031">
          <cell r="C1031">
            <v>45139</v>
          </cell>
          <cell r="L1031">
            <v>248</v>
          </cell>
        </row>
        <row r="1032">
          <cell r="C1032">
            <v>45140</v>
          </cell>
          <cell r="L1032">
            <v>262</v>
          </cell>
        </row>
        <row r="1033">
          <cell r="C1033">
            <v>45141</v>
          </cell>
          <cell r="L1033">
            <v>364</v>
          </cell>
        </row>
        <row r="1034">
          <cell r="C1034">
            <v>45142</v>
          </cell>
          <cell r="L1034">
            <v>361</v>
          </cell>
        </row>
        <row r="1035">
          <cell r="C1035">
            <v>45143</v>
          </cell>
          <cell r="L1035">
            <v>701</v>
          </cell>
        </row>
        <row r="1036">
          <cell r="C1036">
            <v>45144</v>
          </cell>
          <cell r="L1036">
            <v>786</v>
          </cell>
        </row>
        <row r="1037">
          <cell r="C1037">
            <v>45145</v>
          </cell>
        </row>
        <row r="1038">
          <cell r="C1038">
            <v>45146</v>
          </cell>
        </row>
        <row r="1039">
          <cell r="C1039">
            <v>45147</v>
          </cell>
        </row>
        <row r="1040">
          <cell r="C1040">
            <v>45148</v>
          </cell>
        </row>
        <row r="1041">
          <cell r="C1041">
            <v>45149</v>
          </cell>
        </row>
        <row r="1042">
          <cell r="C1042">
            <v>45150</v>
          </cell>
        </row>
        <row r="1043">
          <cell r="C1043">
            <v>45151</v>
          </cell>
        </row>
        <row r="1044">
          <cell r="C1044">
            <v>45152</v>
          </cell>
        </row>
        <row r="1045">
          <cell r="C1045">
            <v>45153</v>
          </cell>
        </row>
        <row r="1046">
          <cell r="C1046">
            <v>45154</v>
          </cell>
        </row>
        <row r="1047">
          <cell r="C1047">
            <v>45155</v>
          </cell>
        </row>
        <row r="1048">
          <cell r="C1048">
            <v>45156</v>
          </cell>
        </row>
        <row r="1049">
          <cell r="C1049">
            <v>45157</v>
          </cell>
        </row>
        <row r="1050">
          <cell r="C1050">
            <v>45158</v>
          </cell>
        </row>
        <row r="1051">
          <cell r="C1051">
            <v>45159</v>
          </cell>
        </row>
        <row r="1052">
          <cell r="C1052">
            <v>45160</v>
          </cell>
        </row>
        <row r="1053">
          <cell r="C1053">
            <v>45161</v>
          </cell>
        </row>
        <row r="1054">
          <cell r="C1054">
            <v>45162</v>
          </cell>
        </row>
        <row r="1055">
          <cell r="C1055">
            <v>45163</v>
          </cell>
        </row>
        <row r="1056">
          <cell r="C1056">
            <v>45164</v>
          </cell>
        </row>
        <row r="1057">
          <cell r="C1057">
            <v>45165</v>
          </cell>
        </row>
        <row r="1058">
          <cell r="C1058">
            <v>45166</v>
          </cell>
        </row>
        <row r="1059">
          <cell r="C1059">
            <v>45167</v>
          </cell>
        </row>
        <row r="1060">
          <cell r="C1060">
            <v>45168</v>
          </cell>
        </row>
        <row r="1061">
          <cell r="C1061">
            <v>45169</v>
          </cell>
        </row>
        <row r="1062">
          <cell r="C1062">
            <v>45170</v>
          </cell>
        </row>
        <row r="1063">
          <cell r="C1063">
            <v>45171</v>
          </cell>
        </row>
        <row r="1064">
          <cell r="C1064">
            <v>45172</v>
          </cell>
        </row>
        <row r="1065">
          <cell r="C1065">
            <v>45173</v>
          </cell>
        </row>
        <row r="1066">
          <cell r="C1066">
            <v>45174</v>
          </cell>
        </row>
        <row r="1067">
          <cell r="C1067">
            <v>45175</v>
          </cell>
        </row>
        <row r="1068">
          <cell r="C1068">
            <v>45176</v>
          </cell>
        </row>
        <row r="1069">
          <cell r="C1069">
            <v>45177</v>
          </cell>
        </row>
        <row r="1070">
          <cell r="C1070">
            <v>45178</v>
          </cell>
        </row>
        <row r="1071">
          <cell r="C1071">
            <v>45179</v>
          </cell>
        </row>
        <row r="1072">
          <cell r="C1072">
            <v>45180</v>
          </cell>
        </row>
        <row r="1073">
          <cell r="C1073">
            <v>45181</v>
          </cell>
        </row>
        <row r="1074">
          <cell r="C1074">
            <v>45182</v>
          </cell>
        </row>
        <row r="1075">
          <cell r="C1075">
            <v>45183</v>
          </cell>
        </row>
        <row r="1076">
          <cell r="C1076">
            <v>45184</v>
          </cell>
        </row>
        <row r="1077">
          <cell r="C1077">
            <v>45185</v>
          </cell>
        </row>
        <row r="1078">
          <cell r="C1078">
            <v>45186</v>
          </cell>
        </row>
        <row r="1079">
          <cell r="C1079">
            <v>45187</v>
          </cell>
        </row>
        <row r="1080">
          <cell r="C1080">
            <v>45188</v>
          </cell>
        </row>
        <row r="1081">
          <cell r="C1081">
            <v>45189</v>
          </cell>
        </row>
        <row r="1082">
          <cell r="C1082">
            <v>45190</v>
          </cell>
        </row>
        <row r="1083">
          <cell r="C1083">
            <v>45191</v>
          </cell>
        </row>
        <row r="1084">
          <cell r="C1084">
            <v>45192</v>
          </cell>
        </row>
        <row r="1085">
          <cell r="C1085">
            <v>45193</v>
          </cell>
        </row>
        <row r="1086">
          <cell r="C1086">
            <v>45194</v>
          </cell>
        </row>
        <row r="1087">
          <cell r="C1087">
            <v>45195</v>
          </cell>
          <cell r="L1087">
            <v>227</v>
          </cell>
        </row>
        <row r="1088">
          <cell r="C1088">
            <v>45196</v>
          </cell>
          <cell r="L1088">
            <v>274</v>
          </cell>
        </row>
        <row r="1089">
          <cell r="C1089">
            <v>45197</v>
          </cell>
          <cell r="L1089">
            <v>124</v>
          </cell>
        </row>
        <row r="1090">
          <cell r="C1090">
            <v>45198</v>
          </cell>
          <cell r="L1090">
            <v>105</v>
          </cell>
        </row>
        <row r="1091">
          <cell r="C1091">
            <v>45199</v>
          </cell>
          <cell r="L1091">
            <v>413</v>
          </cell>
        </row>
        <row r="1092">
          <cell r="C1092">
            <v>45200</v>
          </cell>
          <cell r="L1092">
            <v>305</v>
          </cell>
        </row>
        <row r="1093">
          <cell r="C1093">
            <v>45201</v>
          </cell>
          <cell r="L1093">
            <v>349</v>
          </cell>
        </row>
        <row r="1094">
          <cell r="C1094">
            <v>45202</v>
          </cell>
          <cell r="L1094">
            <v>336</v>
          </cell>
        </row>
        <row r="1095">
          <cell r="C1095">
            <v>45203</v>
          </cell>
          <cell r="L1095">
            <v>120</v>
          </cell>
        </row>
        <row r="1096">
          <cell r="C1096">
            <v>45204</v>
          </cell>
          <cell r="L1096">
            <v>96</v>
          </cell>
        </row>
        <row r="1097">
          <cell r="C1097">
            <v>45205</v>
          </cell>
          <cell r="L1097">
            <v>202</v>
          </cell>
        </row>
        <row r="1098">
          <cell r="C1098">
            <v>45206</v>
          </cell>
          <cell r="L1098">
            <v>383</v>
          </cell>
        </row>
        <row r="1099">
          <cell r="C1099">
            <v>45207</v>
          </cell>
          <cell r="L1099">
            <v>404</v>
          </cell>
        </row>
        <row r="1100">
          <cell r="C1100">
            <v>45208</v>
          </cell>
          <cell r="L1100">
            <v>371</v>
          </cell>
        </row>
        <row r="1101">
          <cell r="C1101">
            <v>45209</v>
          </cell>
          <cell r="L1101">
            <v>126</v>
          </cell>
        </row>
        <row r="1102">
          <cell r="C1102">
            <v>45210</v>
          </cell>
          <cell r="L1102">
            <v>99</v>
          </cell>
        </row>
        <row r="1103">
          <cell r="C1103">
            <v>45211</v>
          </cell>
          <cell r="L1103">
            <v>236</v>
          </cell>
        </row>
        <row r="1104">
          <cell r="C1104">
            <v>45212</v>
          </cell>
          <cell r="L1104">
            <v>189</v>
          </cell>
        </row>
        <row r="1105">
          <cell r="C1105">
            <v>45213</v>
          </cell>
          <cell r="L1105">
            <v>567</v>
          </cell>
        </row>
        <row r="1106">
          <cell r="C1106">
            <v>45214</v>
          </cell>
          <cell r="L1106">
            <v>341</v>
          </cell>
        </row>
        <row r="1107">
          <cell r="C1107">
            <v>45215</v>
          </cell>
        </row>
        <row r="1108">
          <cell r="C1108">
            <v>45216</v>
          </cell>
          <cell r="L1108">
            <v>114</v>
          </cell>
        </row>
        <row r="1109">
          <cell r="C1109">
            <v>45217</v>
          </cell>
          <cell r="L1109">
            <v>129</v>
          </cell>
        </row>
        <row r="1110">
          <cell r="C1110">
            <v>45218</v>
          </cell>
          <cell r="L1110">
            <v>159</v>
          </cell>
        </row>
        <row r="1111">
          <cell r="C1111">
            <v>45219</v>
          </cell>
          <cell r="L1111">
            <v>203</v>
          </cell>
        </row>
        <row r="1112">
          <cell r="C1112">
            <v>45220</v>
          </cell>
          <cell r="L1112">
            <v>525</v>
          </cell>
        </row>
        <row r="1113">
          <cell r="C1113">
            <v>45221</v>
          </cell>
          <cell r="L1113">
            <v>353</v>
          </cell>
        </row>
        <row r="1114">
          <cell r="C1114">
            <v>45222</v>
          </cell>
          <cell r="L1114">
            <v>163</v>
          </cell>
        </row>
        <row r="1115">
          <cell r="C1115">
            <v>45223</v>
          </cell>
          <cell r="L1115">
            <v>105</v>
          </cell>
        </row>
        <row r="1116">
          <cell r="C1116">
            <v>45224</v>
          </cell>
          <cell r="L1116">
            <v>130</v>
          </cell>
        </row>
        <row r="1117">
          <cell r="C1117">
            <v>45225</v>
          </cell>
          <cell r="L1117">
            <v>120</v>
          </cell>
        </row>
        <row r="1118">
          <cell r="C1118">
            <v>45226</v>
          </cell>
          <cell r="L1118">
            <v>177</v>
          </cell>
        </row>
        <row r="1119">
          <cell r="C1119">
            <v>45227</v>
          </cell>
          <cell r="L1119">
            <v>326</v>
          </cell>
        </row>
        <row r="1120">
          <cell r="C1120">
            <v>45228</v>
          </cell>
          <cell r="L1120">
            <v>320</v>
          </cell>
        </row>
        <row r="1121">
          <cell r="C1121">
            <v>45229</v>
          </cell>
          <cell r="L1121">
            <v>94</v>
          </cell>
        </row>
        <row r="1122">
          <cell r="C1122">
            <v>45230</v>
          </cell>
          <cell r="L1122">
            <v>122</v>
          </cell>
        </row>
        <row r="1123">
          <cell r="C1123">
            <v>45231</v>
          </cell>
          <cell r="L1123">
            <v>127</v>
          </cell>
        </row>
        <row r="1124">
          <cell r="C1124">
            <v>45232</v>
          </cell>
          <cell r="L1124">
            <v>95</v>
          </cell>
        </row>
        <row r="1125">
          <cell r="C1125">
            <v>45233</v>
          </cell>
          <cell r="L1125">
            <v>151</v>
          </cell>
        </row>
        <row r="1126">
          <cell r="C1126">
            <v>45234</v>
          </cell>
          <cell r="L1126">
            <v>487</v>
          </cell>
        </row>
        <row r="1127">
          <cell r="C1127">
            <v>45235</v>
          </cell>
          <cell r="L1127">
            <v>427</v>
          </cell>
        </row>
        <row r="1128">
          <cell r="C1128">
            <v>45236</v>
          </cell>
        </row>
        <row r="1129">
          <cell r="C1129">
            <v>45237</v>
          </cell>
          <cell r="L1129">
            <v>135</v>
          </cell>
        </row>
        <row r="1130">
          <cell r="C1130">
            <v>45238</v>
          </cell>
          <cell r="L1130">
            <v>161</v>
          </cell>
        </row>
        <row r="1131">
          <cell r="C1131">
            <v>45239</v>
          </cell>
          <cell r="L1131">
            <v>126</v>
          </cell>
        </row>
        <row r="1132">
          <cell r="C1132">
            <v>45240</v>
          </cell>
          <cell r="L1132">
            <v>153</v>
          </cell>
        </row>
        <row r="1133">
          <cell r="C1133">
            <v>45241</v>
          </cell>
          <cell r="L1133">
            <v>521</v>
          </cell>
        </row>
        <row r="1134">
          <cell r="C1134">
            <v>45242</v>
          </cell>
          <cell r="L1134">
            <v>523</v>
          </cell>
        </row>
        <row r="1135">
          <cell r="C1135">
            <v>45243</v>
          </cell>
          <cell r="L1135">
            <v>157</v>
          </cell>
        </row>
        <row r="1136">
          <cell r="C1136">
            <v>45244</v>
          </cell>
          <cell r="L1136">
            <v>102</v>
          </cell>
        </row>
        <row r="1137">
          <cell r="C1137">
            <v>45245</v>
          </cell>
          <cell r="L1137">
            <v>143</v>
          </cell>
        </row>
        <row r="1138">
          <cell r="C1138">
            <v>45246</v>
          </cell>
          <cell r="L1138">
            <v>125</v>
          </cell>
        </row>
        <row r="1139">
          <cell r="C1139">
            <v>45247</v>
          </cell>
          <cell r="L1139">
            <v>269</v>
          </cell>
        </row>
        <row r="1140">
          <cell r="C1140">
            <v>45248</v>
          </cell>
          <cell r="L1140">
            <v>502</v>
          </cell>
        </row>
        <row r="1141">
          <cell r="C1141">
            <v>45249</v>
          </cell>
          <cell r="L1141">
            <v>564</v>
          </cell>
        </row>
        <row r="1142">
          <cell r="C1142">
            <v>45250</v>
          </cell>
          <cell r="L1142">
            <v>135</v>
          </cell>
        </row>
        <row r="1143">
          <cell r="C1143">
            <v>45251</v>
          </cell>
          <cell r="L1143">
            <v>117</v>
          </cell>
        </row>
        <row r="1144">
          <cell r="C1144">
            <v>45252</v>
          </cell>
          <cell r="L1144">
            <v>157</v>
          </cell>
        </row>
        <row r="1145">
          <cell r="C1145">
            <v>45253</v>
          </cell>
          <cell r="L1145">
            <v>169</v>
          </cell>
        </row>
        <row r="1146">
          <cell r="C1146">
            <v>45254</v>
          </cell>
          <cell r="L1146">
            <v>263</v>
          </cell>
        </row>
        <row r="1147">
          <cell r="C1147">
            <v>45255</v>
          </cell>
          <cell r="L1147">
            <v>544</v>
          </cell>
        </row>
        <row r="1148">
          <cell r="C1148">
            <v>45256</v>
          </cell>
          <cell r="L1148">
            <v>532</v>
          </cell>
        </row>
        <row r="1149">
          <cell r="C1149">
            <v>45257</v>
          </cell>
          <cell r="L1149">
            <v>136</v>
          </cell>
        </row>
        <row r="1150">
          <cell r="C1150">
            <v>45258</v>
          </cell>
          <cell r="L1150">
            <v>138</v>
          </cell>
        </row>
        <row r="1151">
          <cell r="C1151">
            <v>45259</v>
          </cell>
          <cell r="L1151">
            <v>146</v>
          </cell>
        </row>
        <row r="1152">
          <cell r="C1152">
            <v>45260</v>
          </cell>
          <cell r="L1152">
            <v>118</v>
          </cell>
        </row>
        <row r="1153">
          <cell r="C1153">
            <v>45261</v>
          </cell>
          <cell r="L1153">
            <v>159</v>
          </cell>
        </row>
        <row r="1154">
          <cell r="C1154">
            <v>45262</v>
          </cell>
          <cell r="L1154">
            <v>502</v>
          </cell>
        </row>
        <row r="1155">
          <cell r="C1155">
            <v>45263</v>
          </cell>
          <cell r="L1155">
            <v>464</v>
          </cell>
        </row>
        <row r="1156">
          <cell r="C1156">
            <v>45264</v>
          </cell>
          <cell r="L1156">
            <v>94</v>
          </cell>
        </row>
        <row r="1157">
          <cell r="C1157">
            <v>45265</v>
          </cell>
          <cell r="L1157">
            <v>139</v>
          </cell>
        </row>
        <row r="1158">
          <cell r="C1158">
            <v>45266</v>
          </cell>
          <cell r="L1158">
            <v>135</v>
          </cell>
        </row>
        <row r="1159">
          <cell r="C1159">
            <v>45267</v>
          </cell>
          <cell r="L1159">
            <v>250</v>
          </cell>
        </row>
        <row r="1160">
          <cell r="C1160">
            <v>45268</v>
          </cell>
          <cell r="L1160">
            <v>193</v>
          </cell>
        </row>
        <row r="1161">
          <cell r="C1161">
            <v>45269</v>
          </cell>
          <cell r="L1161">
            <v>602</v>
          </cell>
        </row>
        <row r="1162">
          <cell r="C1162">
            <v>45270</v>
          </cell>
          <cell r="L1162">
            <v>482</v>
          </cell>
        </row>
        <row r="1163">
          <cell r="C1163">
            <v>45271</v>
          </cell>
          <cell r="L1163">
            <v>161</v>
          </cell>
        </row>
        <row r="1164">
          <cell r="C1164">
            <v>45272</v>
          </cell>
          <cell r="L1164">
            <v>188</v>
          </cell>
        </row>
        <row r="1165">
          <cell r="C1165">
            <v>45273</v>
          </cell>
          <cell r="L1165">
            <v>236</v>
          </cell>
        </row>
        <row r="1166">
          <cell r="C1166">
            <v>45274</v>
          </cell>
          <cell r="L1166">
            <v>154</v>
          </cell>
        </row>
        <row r="1167">
          <cell r="C1167">
            <v>45275</v>
          </cell>
          <cell r="L1167">
            <v>451</v>
          </cell>
        </row>
        <row r="1168">
          <cell r="C1168">
            <v>45276</v>
          </cell>
          <cell r="L1168">
            <v>619</v>
          </cell>
        </row>
        <row r="1169">
          <cell r="C1169">
            <v>45277</v>
          </cell>
          <cell r="L1169">
            <v>542</v>
          </cell>
        </row>
        <row r="1170">
          <cell r="C1170">
            <v>45278</v>
          </cell>
          <cell r="L1170">
            <v>263</v>
          </cell>
        </row>
        <row r="1171">
          <cell r="C1171">
            <v>45279</v>
          </cell>
          <cell r="L1171">
            <v>234</v>
          </cell>
        </row>
        <row r="1172">
          <cell r="C1172">
            <v>45280</v>
          </cell>
          <cell r="L1172">
            <v>332</v>
          </cell>
        </row>
        <row r="1173">
          <cell r="C1173">
            <v>45281</v>
          </cell>
          <cell r="L1173">
            <v>265</v>
          </cell>
        </row>
        <row r="1174">
          <cell r="C1174">
            <v>45282</v>
          </cell>
          <cell r="L1174">
            <v>370</v>
          </cell>
        </row>
        <row r="1175">
          <cell r="C1175">
            <v>45283</v>
          </cell>
          <cell r="L1175">
            <v>690</v>
          </cell>
        </row>
        <row r="1176">
          <cell r="C1176">
            <v>45284</v>
          </cell>
          <cell r="L1176">
            <v>713</v>
          </cell>
        </row>
        <row r="1177">
          <cell r="C1177">
            <v>45285</v>
          </cell>
          <cell r="L1177">
            <v>799</v>
          </cell>
        </row>
        <row r="1178">
          <cell r="C1178">
            <v>45286</v>
          </cell>
          <cell r="L1178">
            <v>399</v>
          </cell>
        </row>
        <row r="1179">
          <cell r="C1179">
            <v>45287</v>
          </cell>
          <cell r="L1179">
            <v>421</v>
          </cell>
        </row>
        <row r="1180">
          <cell r="C1180">
            <v>45288</v>
          </cell>
          <cell r="L1180">
            <v>564</v>
          </cell>
        </row>
        <row r="1181">
          <cell r="C1181">
            <v>45289</v>
          </cell>
          <cell r="L1181">
            <v>689</v>
          </cell>
        </row>
        <row r="1182">
          <cell r="C1182">
            <v>45290</v>
          </cell>
          <cell r="L1182">
            <v>772</v>
          </cell>
        </row>
        <row r="1183">
          <cell r="C1183">
            <v>45291</v>
          </cell>
          <cell r="L1183">
            <v>1190</v>
          </cell>
        </row>
        <row r="1184">
          <cell r="C1184">
            <v>45292</v>
          </cell>
        </row>
        <row r="1185">
          <cell r="C1185">
            <v>45293</v>
          </cell>
        </row>
        <row r="1186">
          <cell r="C1186">
            <v>45294</v>
          </cell>
        </row>
        <row r="1187">
          <cell r="C1187">
            <v>45295</v>
          </cell>
        </row>
        <row r="1188">
          <cell r="C1188">
            <v>45296</v>
          </cell>
        </row>
        <row r="1189">
          <cell r="C1189">
            <v>45297</v>
          </cell>
        </row>
        <row r="1190">
          <cell r="C1190">
            <v>45298</v>
          </cell>
        </row>
        <row r="1191">
          <cell r="C1191">
            <v>45299</v>
          </cell>
        </row>
        <row r="1192">
          <cell r="C1192">
            <v>45300</v>
          </cell>
        </row>
        <row r="1193">
          <cell r="C1193">
            <v>45301</v>
          </cell>
        </row>
        <row r="1194">
          <cell r="C1194">
            <v>45302</v>
          </cell>
        </row>
        <row r="1195">
          <cell r="C1195">
            <v>45303</v>
          </cell>
        </row>
        <row r="1196">
          <cell r="C1196">
            <v>45304</v>
          </cell>
        </row>
        <row r="1197">
          <cell r="C1197">
            <v>45305</v>
          </cell>
        </row>
        <row r="1198">
          <cell r="C1198">
            <v>45306</v>
          </cell>
        </row>
        <row r="1199">
          <cell r="C1199">
            <v>45307</v>
          </cell>
        </row>
        <row r="1200">
          <cell r="C1200">
            <v>45308</v>
          </cell>
        </row>
        <row r="1201">
          <cell r="C1201">
            <v>45309</v>
          </cell>
        </row>
        <row r="1202">
          <cell r="C1202">
            <v>45310</v>
          </cell>
        </row>
        <row r="1203">
          <cell r="C1203">
            <v>45311</v>
          </cell>
        </row>
        <row r="1204">
          <cell r="C1204">
            <v>45312</v>
          </cell>
        </row>
        <row r="1205">
          <cell r="C1205">
            <v>45313</v>
          </cell>
        </row>
        <row r="1206">
          <cell r="C1206">
            <v>45314</v>
          </cell>
        </row>
        <row r="1207">
          <cell r="C1207">
            <v>45315</v>
          </cell>
        </row>
        <row r="1208">
          <cell r="C1208">
            <v>45316</v>
          </cell>
        </row>
        <row r="1209">
          <cell r="C1209">
            <v>45317</v>
          </cell>
        </row>
        <row r="1210">
          <cell r="C1210">
            <v>45318</v>
          </cell>
        </row>
        <row r="1211">
          <cell r="C1211">
            <v>45319</v>
          </cell>
        </row>
        <row r="1212">
          <cell r="C1212">
            <v>45320</v>
          </cell>
        </row>
        <row r="1213">
          <cell r="C1213">
            <v>45321</v>
          </cell>
        </row>
        <row r="1214">
          <cell r="C1214">
            <v>45322</v>
          </cell>
        </row>
        <row r="1215">
          <cell r="C1215">
            <v>45323</v>
          </cell>
        </row>
        <row r="1216">
          <cell r="C1216">
            <v>45324</v>
          </cell>
        </row>
        <row r="1217">
          <cell r="C1217">
            <v>45325</v>
          </cell>
        </row>
        <row r="1218">
          <cell r="C1218">
            <v>45326</v>
          </cell>
        </row>
        <row r="1219">
          <cell r="C1219">
            <v>45327</v>
          </cell>
        </row>
        <row r="1220">
          <cell r="C1220">
            <v>45328</v>
          </cell>
        </row>
        <row r="1221">
          <cell r="C1221">
            <v>45329</v>
          </cell>
        </row>
        <row r="1222">
          <cell r="C1222">
            <v>45330</v>
          </cell>
        </row>
        <row r="1223">
          <cell r="C1223">
            <v>45331</v>
          </cell>
        </row>
        <row r="1224">
          <cell r="C1224">
            <v>45332</v>
          </cell>
        </row>
        <row r="1225">
          <cell r="C1225">
            <v>45333</v>
          </cell>
        </row>
        <row r="1226">
          <cell r="C1226">
            <v>45334</v>
          </cell>
        </row>
        <row r="1227">
          <cell r="C1227">
            <v>45335</v>
          </cell>
        </row>
        <row r="1228">
          <cell r="C1228">
            <v>45336</v>
          </cell>
        </row>
        <row r="1229">
          <cell r="C1229">
            <v>45337</v>
          </cell>
        </row>
        <row r="1230">
          <cell r="C1230">
            <v>45338</v>
          </cell>
        </row>
        <row r="1231">
          <cell r="C1231">
            <v>45339</v>
          </cell>
        </row>
        <row r="1232">
          <cell r="C1232">
            <v>45340</v>
          </cell>
        </row>
        <row r="1233">
          <cell r="C1233">
            <v>45341</v>
          </cell>
        </row>
        <row r="1234">
          <cell r="C1234">
            <v>45342</v>
          </cell>
        </row>
        <row r="1235">
          <cell r="C1235">
            <v>45343</v>
          </cell>
        </row>
        <row r="1236">
          <cell r="C1236">
            <v>45344</v>
          </cell>
        </row>
        <row r="1237">
          <cell r="C1237">
            <v>45345</v>
          </cell>
        </row>
        <row r="1238">
          <cell r="C1238">
            <v>45346</v>
          </cell>
          <cell r="L1238">
            <v>626</v>
          </cell>
        </row>
        <row r="1239">
          <cell r="C1239">
            <v>45347</v>
          </cell>
          <cell r="L1239">
            <v>389</v>
          </cell>
        </row>
        <row r="1240">
          <cell r="C1240">
            <v>45348</v>
          </cell>
          <cell r="L1240">
            <v>135</v>
          </cell>
        </row>
        <row r="1241">
          <cell r="C1241">
            <v>45349</v>
          </cell>
          <cell r="L1241">
            <v>161</v>
          </cell>
        </row>
        <row r="1242">
          <cell r="C1242">
            <v>45350</v>
          </cell>
          <cell r="L1242">
            <v>175</v>
          </cell>
        </row>
        <row r="1243">
          <cell r="C1243">
            <v>45351</v>
          </cell>
          <cell r="L1243">
            <v>140</v>
          </cell>
        </row>
        <row r="1244">
          <cell r="C1244">
            <v>45352</v>
          </cell>
          <cell r="L1244">
            <v>637</v>
          </cell>
        </row>
        <row r="1245">
          <cell r="C1245">
            <v>45353</v>
          </cell>
          <cell r="L1245">
            <v>452</v>
          </cell>
        </row>
        <row r="1246">
          <cell r="C1246">
            <v>45354</v>
          </cell>
          <cell r="L1246">
            <v>241</v>
          </cell>
        </row>
        <row r="1247">
          <cell r="C1247">
            <v>45355</v>
          </cell>
          <cell r="L1247">
            <v>0</v>
          </cell>
        </row>
        <row r="1248">
          <cell r="C1248">
            <v>45356</v>
          </cell>
          <cell r="L1248">
            <v>98</v>
          </cell>
        </row>
        <row r="1249">
          <cell r="C1249">
            <v>45357</v>
          </cell>
          <cell r="L1249">
            <v>106</v>
          </cell>
        </row>
        <row r="1250">
          <cell r="C1250">
            <v>45358</v>
          </cell>
        </row>
        <row r="1251">
          <cell r="C1251">
            <v>45359</v>
          </cell>
        </row>
        <row r="1252">
          <cell r="C1252">
            <v>45360</v>
          </cell>
        </row>
        <row r="1253">
          <cell r="C1253">
            <v>45361</v>
          </cell>
        </row>
        <row r="1254">
          <cell r="C1254">
            <v>45362</v>
          </cell>
        </row>
        <row r="1255">
          <cell r="C1255">
            <v>45363</v>
          </cell>
        </row>
        <row r="1256">
          <cell r="C1256">
            <v>45364</v>
          </cell>
        </row>
        <row r="1257">
          <cell r="C1257">
            <v>45365</v>
          </cell>
        </row>
        <row r="1258">
          <cell r="C1258">
            <v>45366</v>
          </cell>
        </row>
        <row r="1259">
          <cell r="C1259">
            <v>45367</v>
          </cell>
        </row>
        <row r="1260">
          <cell r="C1260">
            <v>45368</v>
          </cell>
        </row>
        <row r="1261">
          <cell r="C1261">
            <v>45369</v>
          </cell>
        </row>
        <row r="1262">
          <cell r="C1262">
            <v>45370</v>
          </cell>
        </row>
        <row r="1263">
          <cell r="C1263">
            <v>45371</v>
          </cell>
        </row>
        <row r="1264">
          <cell r="C1264">
            <v>45372</v>
          </cell>
        </row>
        <row r="1265">
          <cell r="C1265">
            <v>45373</v>
          </cell>
        </row>
        <row r="1266">
          <cell r="C1266">
            <v>45374</v>
          </cell>
        </row>
        <row r="1267">
          <cell r="C1267">
            <v>45375</v>
          </cell>
        </row>
        <row r="1268">
          <cell r="C1268">
            <v>45376</v>
          </cell>
        </row>
        <row r="1269">
          <cell r="C1269">
            <v>45377</v>
          </cell>
        </row>
        <row r="1270">
          <cell r="C1270">
            <v>45378</v>
          </cell>
        </row>
        <row r="1271">
          <cell r="C1271">
            <v>45379</v>
          </cell>
        </row>
        <row r="1272">
          <cell r="C1272">
            <v>45380</v>
          </cell>
        </row>
        <row r="1273">
          <cell r="C1273">
            <v>45381</v>
          </cell>
        </row>
        <row r="1274">
          <cell r="C1274">
            <v>45382</v>
          </cell>
        </row>
        <row r="1275">
          <cell r="C1275">
            <v>45383</v>
          </cell>
        </row>
        <row r="1276">
          <cell r="C1276">
            <v>45384</v>
          </cell>
        </row>
        <row r="1277">
          <cell r="C1277">
            <v>45385</v>
          </cell>
        </row>
        <row r="1278">
          <cell r="C1278">
            <v>45386</v>
          </cell>
        </row>
        <row r="1279">
          <cell r="C1279">
            <v>45387</v>
          </cell>
        </row>
        <row r="1280">
          <cell r="C1280">
            <v>45388</v>
          </cell>
        </row>
        <row r="1281">
          <cell r="C1281">
            <v>45389</v>
          </cell>
        </row>
        <row r="1282">
          <cell r="C1282">
            <v>45390</v>
          </cell>
        </row>
        <row r="1283">
          <cell r="C1283">
            <v>45391</v>
          </cell>
        </row>
        <row r="1284">
          <cell r="C1284">
            <v>45392</v>
          </cell>
        </row>
        <row r="1285">
          <cell r="C1285">
            <v>45393</v>
          </cell>
        </row>
        <row r="1286">
          <cell r="C1286">
            <v>45394</v>
          </cell>
        </row>
        <row r="1287">
          <cell r="C1287">
            <v>45395</v>
          </cell>
        </row>
        <row r="1288">
          <cell r="C1288">
            <v>45396</v>
          </cell>
        </row>
        <row r="1289">
          <cell r="C1289">
            <v>45397</v>
          </cell>
        </row>
        <row r="1290">
          <cell r="C1290">
            <v>45398</v>
          </cell>
        </row>
        <row r="1291">
          <cell r="C1291">
            <v>45399</v>
          </cell>
        </row>
        <row r="1292">
          <cell r="C1292">
            <v>45400</v>
          </cell>
        </row>
        <row r="1293">
          <cell r="C1293">
            <v>45401</v>
          </cell>
        </row>
        <row r="1294">
          <cell r="C1294">
            <v>45402</v>
          </cell>
        </row>
        <row r="1295">
          <cell r="C1295">
            <v>45403</v>
          </cell>
        </row>
        <row r="1296">
          <cell r="C1296">
            <v>45404</v>
          </cell>
        </row>
        <row r="1297">
          <cell r="C1297">
            <v>45405</v>
          </cell>
        </row>
        <row r="1298">
          <cell r="C1298">
            <v>45406</v>
          </cell>
        </row>
        <row r="1299">
          <cell r="C1299">
            <v>45407</v>
          </cell>
        </row>
        <row r="1300">
          <cell r="C1300">
            <v>45408</v>
          </cell>
        </row>
        <row r="1301">
          <cell r="C1301">
            <v>45409</v>
          </cell>
        </row>
        <row r="1302">
          <cell r="C1302">
            <v>45410</v>
          </cell>
        </row>
        <row r="1303">
          <cell r="C1303">
            <v>45411</v>
          </cell>
        </row>
        <row r="1304">
          <cell r="C1304">
            <v>45412</v>
          </cell>
        </row>
        <row r="1305">
          <cell r="C1305">
            <v>45413</v>
          </cell>
        </row>
        <row r="1306">
          <cell r="C1306">
            <v>45414</v>
          </cell>
        </row>
        <row r="1307">
          <cell r="C1307">
            <v>45415</v>
          </cell>
        </row>
        <row r="1308">
          <cell r="C1308">
            <v>45416</v>
          </cell>
        </row>
        <row r="1309">
          <cell r="C1309">
            <v>45417</v>
          </cell>
        </row>
        <row r="1310">
          <cell r="C1310">
            <v>45418</v>
          </cell>
        </row>
        <row r="1311">
          <cell r="C1311">
            <v>45419</v>
          </cell>
        </row>
        <row r="1312">
          <cell r="C1312">
            <v>45420</v>
          </cell>
        </row>
        <row r="1313">
          <cell r="C1313">
            <v>45421</v>
          </cell>
        </row>
        <row r="1314">
          <cell r="C1314">
            <v>45422</v>
          </cell>
        </row>
        <row r="1315">
          <cell r="C1315">
            <v>45423</v>
          </cell>
        </row>
        <row r="1316">
          <cell r="C1316">
            <v>45424</v>
          </cell>
        </row>
        <row r="1317">
          <cell r="C1317">
            <v>45425</v>
          </cell>
        </row>
        <row r="1318">
          <cell r="C1318">
            <v>45426</v>
          </cell>
        </row>
        <row r="1319">
          <cell r="C1319">
            <v>45427</v>
          </cell>
        </row>
        <row r="1320">
          <cell r="C1320">
            <v>45428</v>
          </cell>
        </row>
        <row r="1321">
          <cell r="C1321">
            <v>45429</v>
          </cell>
        </row>
        <row r="1322">
          <cell r="C1322">
            <v>45430</v>
          </cell>
        </row>
        <row r="1323">
          <cell r="C1323">
            <v>45431</v>
          </cell>
        </row>
        <row r="1324">
          <cell r="C1324">
            <v>45432</v>
          </cell>
        </row>
        <row r="1325">
          <cell r="C1325">
            <v>45433</v>
          </cell>
        </row>
        <row r="1326">
          <cell r="C1326">
            <v>45434</v>
          </cell>
        </row>
        <row r="1327">
          <cell r="C1327">
            <v>45435</v>
          </cell>
        </row>
        <row r="1328">
          <cell r="C1328">
            <v>45436</v>
          </cell>
        </row>
        <row r="1329">
          <cell r="C1329">
            <v>45437</v>
          </cell>
        </row>
        <row r="1330">
          <cell r="C1330">
            <v>45438</v>
          </cell>
        </row>
        <row r="1331">
          <cell r="C1331">
            <v>45439</v>
          </cell>
        </row>
        <row r="1332">
          <cell r="C1332">
            <v>45440</v>
          </cell>
        </row>
        <row r="1333">
          <cell r="C1333">
            <v>45441</v>
          </cell>
        </row>
        <row r="1334">
          <cell r="C1334">
            <v>45442</v>
          </cell>
        </row>
        <row r="1335">
          <cell r="C1335">
            <v>45443</v>
          </cell>
        </row>
        <row r="1336">
          <cell r="C1336">
            <v>45444</v>
          </cell>
        </row>
        <row r="1337">
          <cell r="C1337">
            <v>45445</v>
          </cell>
        </row>
        <row r="1338">
          <cell r="C1338">
            <v>45446</v>
          </cell>
        </row>
        <row r="1339">
          <cell r="C1339">
            <v>45447</v>
          </cell>
        </row>
        <row r="1340">
          <cell r="C1340">
            <v>45448</v>
          </cell>
        </row>
        <row r="1341">
          <cell r="C1341">
            <v>45449</v>
          </cell>
        </row>
        <row r="1342">
          <cell r="C1342">
            <v>45450</v>
          </cell>
        </row>
        <row r="1343">
          <cell r="C1343">
            <v>45451</v>
          </cell>
        </row>
        <row r="1344">
          <cell r="C1344">
            <v>45452</v>
          </cell>
        </row>
        <row r="1345">
          <cell r="C1345">
            <v>45453</v>
          </cell>
        </row>
        <row r="1346">
          <cell r="C1346">
            <v>45454</v>
          </cell>
        </row>
        <row r="1347">
          <cell r="C1347">
            <v>45455</v>
          </cell>
        </row>
        <row r="1348">
          <cell r="C1348">
            <v>45456</v>
          </cell>
        </row>
        <row r="1349">
          <cell r="C1349">
            <v>45457</v>
          </cell>
        </row>
        <row r="1350">
          <cell r="C1350">
            <v>45458</v>
          </cell>
        </row>
        <row r="1351">
          <cell r="C1351">
            <v>45459</v>
          </cell>
        </row>
        <row r="1352">
          <cell r="C1352">
            <v>45460</v>
          </cell>
        </row>
        <row r="1353">
          <cell r="C1353">
            <v>45461</v>
          </cell>
        </row>
        <row r="1354">
          <cell r="C1354">
            <v>45462</v>
          </cell>
        </row>
        <row r="1355">
          <cell r="C1355">
            <v>45463</v>
          </cell>
        </row>
        <row r="1356">
          <cell r="C1356">
            <v>45464</v>
          </cell>
        </row>
        <row r="1357">
          <cell r="C1357">
            <v>45465</v>
          </cell>
        </row>
        <row r="1358">
          <cell r="C1358">
            <v>45466</v>
          </cell>
        </row>
        <row r="1359">
          <cell r="C1359">
            <v>45467</v>
          </cell>
        </row>
        <row r="1360">
          <cell r="C1360">
            <v>45468</v>
          </cell>
        </row>
        <row r="1361">
          <cell r="C1361">
            <v>45469</v>
          </cell>
        </row>
        <row r="1362">
          <cell r="C1362">
            <v>45470</v>
          </cell>
        </row>
        <row r="1363">
          <cell r="C1363">
            <v>45471</v>
          </cell>
        </row>
        <row r="1364">
          <cell r="C1364">
            <v>45472</v>
          </cell>
        </row>
        <row r="1365">
          <cell r="C1365">
            <v>45473</v>
          </cell>
        </row>
        <row r="1366">
          <cell r="C1366">
            <v>45474</v>
          </cell>
        </row>
        <row r="1367">
          <cell r="C1367">
            <v>45475</v>
          </cell>
        </row>
        <row r="1368">
          <cell r="C1368">
            <v>45476</v>
          </cell>
        </row>
        <row r="1369">
          <cell r="C1369">
            <v>45477</v>
          </cell>
        </row>
        <row r="1370">
          <cell r="C1370">
            <v>45478</v>
          </cell>
        </row>
        <row r="1371">
          <cell r="C1371">
            <v>45479</v>
          </cell>
        </row>
        <row r="1372">
          <cell r="C1372">
            <v>45480</v>
          </cell>
        </row>
        <row r="1373">
          <cell r="C1373">
            <v>45481</v>
          </cell>
        </row>
        <row r="1374">
          <cell r="C1374">
            <v>45482</v>
          </cell>
        </row>
        <row r="1375">
          <cell r="C1375">
            <v>45483</v>
          </cell>
        </row>
        <row r="1376">
          <cell r="C1376">
            <v>45484</v>
          </cell>
        </row>
        <row r="1377">
          <cell r="C1377">
            <v>45485</v>
          </cell>
        </row>
        <row r="1378">
          <cell r="C1378">
            <v>45486</v>
          </cell>
        </row>
        <row r="1379">
          <cell r="C1379">
            <v>45487</v>
          </cell>
        </row>
        <row r="1380">
          <cell r="C1380">
            <v>45488</v>
          </cell>
        </row>
        <row r="1381">
          <cell r="C1381">
            <v>45489</v>
          </cell>
        </row>
        <row r="1382">
          <cell r="C1382">
            <v>45490</v>
          </cell>
        </row>
        <row r="1383">
          <cell r="C1383">
            <v>45491</v>
          </cell>
        </row>
        <row r="1384">
          <cell r="C1384">
            <v>45492</v>
          </cell>
        </row>
        <row r="1385">
          <cell r="C1385">
            <v>45493</v>
          </cell>
        </row>
        <row r="1386">
          <cell r="C1386">
            <v>45494</v>
          </cell>
        </row>
        <row r="1387">
          <cell r="C1387">
            <v>45495</v>
          </cell>
        </row>
        <row r="1388">
          <cell r="C1388">
            <v>45496</v>
          </cell>
        </row>
        <row r="1389">
          <cell r="C1389">
            <v>45497</v>
          </cell>
        </row>
        <row r="1390">
          <cell r="C1390">
            <v>45498</v>
          </cell>
        </row>
        <row r="1391">
          <cell r="C1391">
            <v>45499</v>
          </cell>
        </row>
        <row r="1392">
          <cell r="C1392">
            <v>45500</v>
          </cell>
        </row>
        <row r="1393">
          <cell r="C1393">
            <v>45501</v>
          </cell>
        </row>
        <row r="1394">
          <cell r="C1394">
            <v>45502</v>
          </cell>
        </row>
        <row r="1395">
          <cell r="C1395">
            <v>45503</v>
          </cell>
        </row>
        <row r="1396">
          <cell r="C1396">
            <v>45504</v>
          </cell>
        </row>
        <row r="1397">
          <cell r="C1397">
            <v>45505</v>
          </cell>
        </row>
        <row r="1398">
          <cell r="C1398">
            <v>45506</v>
          </cell>
        </row>
        <row r="1399">
          <cell r="C1399">
            <v>45507</v>
          </cell>
        </row>
        <row r="1400">
          <cell r="C1400">
            <v>45508</v>
          </cell>
        </row>
        <row r="1401">
          <cell r="C1401">
            <v>45509</v>
          </cell>
        </row>
        <row r="1402">
          <cell r="C1402">
            <v>45510</v>
          </cell>
        </row>
        <row r="1403">
          <cell r="C1403">
            <v>45511</v>
          </cell>
        </row>
        <row r="1404">
          <cell r="C1404">
            <v>45512</v>
          </cell>
        </row>
        <row r="1405">
          <cell r="C1405">
            <v>45513</v>
          </cell>
        </row>
        <row r="1406">
          <cell r="C1406">
            <v>45514</v>
          </cell>
        </row>
        <row r="1407">
          <cell r="C1407">
            <v>45515</v>
          </cell>
        </row>
        <row r="1408">
          <cell r="C1408">
            <v>45516</v>
          </cell>
        </row>
        <row r="1409">
          <cell r="C1409">
            <v>45517</v>
          </cell>
        </row>
        <row r="1410">
          <cell r="C1410">
            <v>45518</v>
          </cell>
        </row>
        <row r="1411">
          <cell r="C1411">
            <v>45519</v>
          </cell>
        </row>
        <row r="1412">
          <cell r="C1412">
            <v>45520</v>
          </cell>
        </row>
        <row r="1413">
          <cell r="C1413">
            <v>45521</v>
          </cell>
        </row>
        <row r="1414">
          <cell r="C1414">
            <v>45522</v>
          </cell>
        </row>
        <row r="1415">
          <cell r="C1415">
            <v>45523</v>
          </cell>
        </row>
        <row r="1416">
          <cell r="C1416">
            <v>45524</v>
          </cell>
        </row>
        <row r="1417">
          <cell r="C1417">
            <v>45525</v>
          </cell>
        </row>
        <row r="1418">
          <cell r="C1418">
            <v>45526</v>
          </cell>
        </row>
        <row r="1419">
          <cell r="C1419">
            <v>45527</v>
          </cell>
        </row>
        <row r="1420">
          <cell r="C1420">
            <v>45528</v>
          </cell>
        </row>
        <row r="1421">
          <cell r="C1421">
            <v>45529</v>
          </cell>
        </row>
        <row r="1422">
          <cell r="C1422">
            <v>45530</v>
          </cell>
        </row>
        <row r="1423">
          <cell r="C1423">
            <v>45531</v>
          </cell>
        </row>
        <row r="1424">
          <cell r="C1424">
            <v>45532</v>
          </cell>
        </row>
        <row r="1425">
          <cell r="C1425">
            <v>45533</v>
          </cell>
        </row>
        <row r="1426">
          <cell r="C1426">
            <v>45534</v>
          </cell>
        </row>
        <row r="1427">
          <cell r="C1427">
            <v>45535</v>
          </cell>
        </row>
        <row r="1428">
          <cell r="C1428">
            <v>45536</v>
          </cell>
        </row>
        <row r="1429">
          <cell r="C1429">
            <v>45537</v>
          </cell>
        </row>
        <row r="1430">
          <cell r="C1430">
            <v>45538</v>
          </cell>
        </row>
        <row r="1431">
          <cell r="C1431">
            <v>45539</v>
          </cell>
        </row>
        <row r="1432">
          <cell r="C1432">
            <v>45540</v>
          </cell>
        </row>
        <row r="1433">
          <cell r="C1433">
            <v>45541</v>
          </cell>
        </row>
        <row r="1434">
          <cell r="C1434">
            <v>45542</v>
          </cell>
        </row>
        <row r="1435">
          <cell r="C1435">
            <v>45543</v>
          </cell>
        </row>
        <row r="1436">
          <cell r="C1436">
            <v>45544</v>
          </cell>
        </row>
        <row r="1437">
          <cell r="C1437">
            <v>45545</v>
          </cell>
        </row>
        <row r="1438">
          <cell r="C1438">
            <v>45546</v>
          </cell>
        </row>
        <row r="1439">
          <cell r="C1439">
            <v>45547</v>
          </cell>
        </row>
        <row r="1440">
          <cell r="C1440">
            <v>45548</v>
          </cell>
        </row>
        <row r="1441">
          <cell r="C1441">
            <v>45549</v>
          </cell>
        </row>
        <row r="1442">
          <cell r="C1442">
            <v>45550</v>
          </cell>
        </row>
        <row r="1443">
          <cell r="C1443">
            <v>45551</v>
          </cell>
        </row>
        <row r="1444">
          <cell r="C1444">
            <v>45552</v>
          </cell>
        </row>
        <row r="1445">
          <cell r="C1445">
            <v>45553</v>
          </cell>
        </row>
        <row r="1446">
          <cell r="C1446">
            <v>45554</v>
          </cell>
        </row>
        <row r="1447">
          <cell r="C1447">
            <v>45555</v>
          </cell>
        </row>
        <row r="1448">
          <cell r="C1448">
            <v>45556</v>
          </cell>
        </row>
        <row r="1449">
          <cell r="C1449">
            <v>45557</v>
          </cell>
        </row>
        <row r="1450">
          <cell r="C1450">
            <v>45558</v>
          </cell>
        </row>
        <row r="1451">
          <cell r="C1451">
            <v>45559</v>
          </cell>
        </row>
        <row r="1452">
          <cell r="C1452">
            <v>45560</v>
          </cell>
        </row>
        <row r="1453">
          <cell r="C1453">
            <v>45561</v>
          </cell>
        </row>
        <row r="1454">
          <cell r="C1454">
            <v>45562</v>
          </cell>
        </row>
        <row r="1455">
          <cell r="C1455">
            <v>45563</v>
          </cell>
        </row>
        <row r="1456">
          <cell r="C1456">
            <v>45564</v>
          </cell>
        </row>
        <row r="1457">
          <cell r="C1457">
            <v>45565</v>
          </cell>
        </row>
        <row r="1458">
          <cell r="C1458">
            <v>45566</v>
          </cell>
        </row>
        <row r="1459">
          <cell r="C1459">
            <v>45567</v>
          </cell>
        </row>
        <row r="1460">
          <cell r="C1460">
            <v>45568</v>
          </cell>
        </row>
        <row r="1461">
          <cell r="C1461">
            <v>45569</v>
          </cell>
        </row>
        <row r="1462">
          <cell r="C1462">
            <v>45570</v>
          </cell>
        </row>
        <row r="1463">
          <cell r="C1463">
            <v>45571</v>
          </cell>
        </row>
        <row r="1464">
          <cell r="C1464">
            <v>45572</v>
          </cell>
        </row>
        <row r="1465">
          <cell r="C1465">
            <v>45573</v>
          </cell>
        </row>
        <row r="1466">
          <cell r="C1466">
            <v>45574</v>
          </cell>
        </row>
        <row r="1467">
          <cell r="C1467">
            <v>45575</v>
          </cell>
        </row>
        <row r="1468">
          <cell r="C1468">
            <v>45576</v>
          </cell>
        </row>
        <row r="1469">
          <cell r="C1469">
            <v>45577</v>
          </cell>
        </row>
        <row r="1470">
          <cell r="C1470">
            <v>45578</v>
          </cell>
        </row>
        <row r="1471">
          <cell r="C1471">
            <v>45579</v>
          </cell>
        </row>
        <row r="1472">
          <cell r="C1472">
            <v>45580</v>
          </cell>
        </row>
        <row r="1473">
          <cell r="C1473">
            <v>45581</v>
          </cell>
        </row>
        <row r="1474">
          <cell r="C1474">
            <v>45582</v>
          </cell>
        </row>
        <row r="1475">
          <cell r="C1475">
            <v>45583</v>
          </cell>
        </row>
        <row r="1476">
          <cell r="C1476">
            <v>45584</v>
          </cell>
        </row>
        <row r="1477">
          <cell r="C1477">
            <v>45585</v>
          </cell>
        </row>
        <row r="1478">
          <cell r="C1478">
            <v>45586</v>
          </cell>
        </row>
        <row r="1479">
          <cell r="C1479">
            <v>45587</v>
          </cell>
        </row>
        <row r="1480">
          <cell r="C1480">
            <v>45588</v>
          </cell>
        </row>
        <row r="1481">
          <cell r="C1481">
            <v>45589</v>
          </cell>
        </row>
        <row r="1482">
          <cell r="C1482">
            <v>45590</v>
          </cell>
        </row>
        <row r="1483">
          <cell r="C1483">
            <v>45591</v>
          </cell>
        </row>
        <row r="1484">
          <cell r="C1484">
            <v>45592</v>
          </cell>
        </row>
        <row r="1485">
          <cell r="C1485">
            <v>45593</v>
          </cell>
        </row>
        <row r="1486">
          <cell r="C1486">
            <v>45594</v>
          </cell>
        </row>
        <row r="1487">
          <cell r="C1487">
            <v>45595</v>
          </cell>
        </row>
        <row r="1488">
          <cell r="C1488">
            <v>45596</v>
          </cell>
        </row>
        <row r="1489">
          <cell r="C1489">
            <v>45597</v>
          </cell>
        </row>
        <row r="1490">
          <cell r="C1490">
            <v>45598</v>
          </cell>
        </row>
        <row r="1491">
          <cell r="C1491">
            <v>45599</v>
          </cell>
        </row>
        <row r="1492">
          <cell r="C1492">
            <v>45600</v>
          </cell>
        </row>
        <row r="1493">
          <cell r="C1493">
            <v>45601</v>
          </cell>
        </row>
        <row r="1494">
          <cell r="C1494">
            <v>45602</v>
          </cell>
        </row>
        <row r="1495">
          <cell r="C1495">
            <v>45603</v>
          </cell>
        </row>
        <row r="1496">
          <cell r="C1496">
            <v>45604</v>
          </cell>
        </row>
        <row r="1497">
          <cell r="C1497">
            <v>45605</v>
          </cell>
        </row>
        <row r="1498">
          <cell r="C1498">
            <v>45606</v>
          </cell>
        </row>
        <row r="1499">
          <cell r="C1499">
            <v>45607</v>
          </cell>
        </row>
        <row r="1500">
          <cell r="C1500">
            <v>45608</v>
          </cell>
        </row>
        <row r="1501">
          <cell r="C1501">
            <v>45609</v>
          </cell>
        </row>
        <row r="1502">
          <cell r="C1502">
            <v>45610</v>
          </cell>
        </row>
        <row r="1503">
          <cell r="C1503">
            <v>45611</v>
          </cell>
        </row>
        <row r="1504">
          <cell r="C1504">
            <v>45612</v>
          </cell>
        </row>
        <row r="1505">
          <cell r="C1505">
            <v>45613</v>
          </cell>
        </row>
        <row r="1506">
          <cell r="C1506">
            <v>45614</v>
          </cell>
        </row>
        <row r="1507">
          <cell r="C1507">
            <v>45615</v>
          </cell>
        </row>
        <row r="1508">
          <cell r="C1508">
            <v>45616</v>
          </cell>
        </row>
        <row r="1509">
          <cell r="C1509">
            <v>45617</v>
          </cell>
        </row>
        <row r="1510">
          <cell r="C1510">
            <v>45618</v>
          </cell>
        </row>
        <row r="1511">
          <cell r="C1511">
            <v>45619</v>
          </cell>
        </row>
        <row r="1512">
          <cell r="C1512">
            <v>45620</v>
          </cell>
        </row>
        <row r="1513">
          <cell r="C1513">
            <v>45621</v>
          </cell>
        </row>
        <row r="1514">
          <cell r="C1514">
            <v>45622</v>
          </cell>
        </row>
        <row r="1515">
          <cell r="C1515">
            <v>45623</v>
          </cell>
        </row>
        <row r="1516">
          <cell r="C1516">
            <v>45624</v>
          </cell>
        </row>
        <row r="1517">
          <cell r="C1517">
            <v>45625</v>
          </cell>
        </row>
        <row r="1518">
          <cell r="C1518">
            <v>45626</v>
          </cell>
        </row>
        <row r="1519">
          <cell r="C1519">
            <v>45627</v>
          </cell>
        </row>
        <row r="1520">
          <cell r="C1520">
            <v>45628</v>
          </cell>
        </row>
        <row r="1521">
          <cell r="C1521">
            <v>45629</v>
          </cell>
        </row>
        <row r="1522">
          <cell r="C1522">
            <v>45630</v>
          </cell>
        </row>
        <row r="1523">
          <cell r="C1523">
            <v>45631</v>
          </cell>
        </row>
        <row r="1524">
          <cell r="C1524">
            <v>45632</v>
          </cell>
        </row>
        <row r="1525">
          <cell r="C1525">
            <v>45633</v>
          </cell>
        </row>
        <row r="1526">
          <cell r="C1526">
            <v>45634</v>
          </cell>
        </row>
        <row r="1527">
          <cell r="C1527">
            <v>45635</v>
          </cell>
        </row>
        <row r="1528">
          <cell r="C1528">
            <v>45636</v>
          </cell>
        </row>
        <row r="1529">
          <cell r="C1529">
            <v>45637</v>
          </cell>
        </row>
        <row r="1530">
          <cell r="C1530">
            <v>45638</v>
          </cell>
        </row>
        <row r="1531">
          <cell r="C1531">
            <v>45639</v>
          </cell>
        </row>
        <row r="1532">
          <cell r="C1532">
            <v>45640</v>
          </cell>
        </row>
        <row r="1533">
          <cell r="C1533">
            <v>45641</v>
          </cell>
        </row>
        <row r="1534">
          <cell r="C1534">
            <v>45642</v>
          </cell>
        </row>
        <row r="1535">
          <cell r="C1535">
            <v>45643</v>
          </cell>
        </row>
        <row r="1536">
          <cell r="C1536">
            <v>45644</v>
          </cell>
        </row>
        <row r="1537">
          <cell r="C1537">
            <v>45645</v>
          </cell>
        </row>
        <row r="1538">
          <cell r="C1538">
            <v>45646</v>
          </cell>
        </row>
        <row r="1539">
          <cell r="C1539">
            <v>45647</v>
          </cell>
        </row>
        <row r="1540">
          <cell r="C1540">
            <v>45648</v>
          </cell>
        </row>
        <row r="1541">
          <cell r="C1541">
            <v>45649</v>
          </cell>
        </row>
        <row r="1542">
          <cell r="C1542">
            <v>45650</v>
          </cell>
        </row>
        <row r="1543">
          <cell r="C1543">
            <v>45651</v>
          </cell>
        </row>
        <row r="1544">
          <cell r="C1544">
            <v>45652</v>
          </cell>
        </row>
        <row r="1545">
          <cell r="C1545">
            <v>45653</v>
          </cell>
        </row>
        <row r="1546">
          <cell r="C1546">
            <v>45654</v>
          </cell>
        </row>
        <row r="1547">
          <cell r="C1547">
            <v>45655</v>
          </cell>
        </row>
        <row r="1548">
          <cell r="C1548">
            <v>45656</v>
          </cell>
        </row>
        <row r="1549">
          <cell r="C1549">
            <v>45657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ko.extendoffice.com/documents/excel/3381-excel-extract-unique-values-with-criteria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3" tint="-0.249977111117893"/>
  </sheetPr>
  <dimension ref="B1:C15"/>
  <sheetViews>
    <sheetView showGridLines="0" topLeftCell="A13" workbookViewId="0"/>
  </sheetViews>
  <sheetFormatPr defaultRowHeight="12.75" x14ac:dyDescent="0.25"/>
  <cols>
    <col min="3" max="3" width="18" customWidth="1"/>
  </cols>
  <sheetData>
    <row r="1" spans="2:3" hidden="1" x14ac:dyDescent="0.25"/>
    <row r="2" spans="2:3" hidden="1" x14ac:dyDescent="0.25">
      <c r="B2">
        <v>6</v>
      </c>
    </row>
    <row r="3" spans="2:3" hidden="1" x14ac:dyDescent="0.25"/>
    <row r="4" spans="2:3" hidden="1" x14ac:dyDescent="0.25"/>
    <row r="5" spans="2:3" hidden="1" x14ac:dyDescent="0.25"/>
    <row r="6" spans="2:3" hidden="1" x14ac:dyDescent="0.25"/>
    <row r="7" spans="2:3" hidden="1" x14ac:dyDescent="0.25"/>
    <row r="8" spans="2:3" hidden="1" x14ac:dyDescent="0.25"/>
    <row r="9" spans="2:3" hidden="1" x14ac:dyDescent="0.25"/>
    <row r="10" spans="2:3" hidden="1" x14ac:dyDescent="0.25"/>
    <row r="11" spans="2:3" hidden="1" x14ac:dyDescent="0.25"/>
    <row r="12" spans="2:3" hidden="1" x14ac:dyDescent="0.25"/>
    <row r="15" spans="2:3" ht="27" customHeight="1" x14ac:dyDescent="0.25">
      <c r="C15" s="32">
        <f>+b_stick!$O$5</f>
        <v>45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pinner 1">
              <controlPr defaultSize="0" autoPict="0">
                <anchor moveWithCells="1" sizeWithCells="1">
                  <from>
                    <xdr:col>4</xdr:col>
                    <xdr:colOff>333375</xdr:colOff>
                    <xdr:row>12</xdr:row>
                    <xdr:rowOff>152400</xdr:rowOff>
                  </from>
                  <to>
                    <xdr:col>5</xdr:col>
                    <xdr:colOff>390525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3" tint="-0.249977111117893"/>
    <pageSetUpPr fitToPage="1"/>
  </sheetPr>
  <dimension ref="A1:AA132"/>
  <sheetViews>
    <sheetView showGridLines="0" workbookViewId="0">
      <selection activeCell="Y21" sqref="Y21"/>
    </sheetView>
  </sheetViews>
  <sheetFormatPr defaultColWidth="9.140625" defaultRowHeight="12.75" zeroHeight="1" x14ac:dyDescent="0.25"/>
  <cols>
    <col min="1" max="21" width="9.140625" style="34" customWidth="1"/>
    <col min="22" max="22" width="9.140625" style="34"/>
  </cols>
  <sheetData>
    <row r="1" spans="27:27" x14ac:dyDescent="0.25"/>
    <row r="2" spans="27:27" x14ac:dyDescent="0.25"/>
    <row r="3" spans="27:27" ht="16.5" x14ac:dyDescent="0.25">
      <c r="AA3" s="35">
        <f>+b_stick!O5</f>
        <v>45</v>
      </c>
    </row>
    <row r="4" spans="27:27" x14ac:dyDescent="0.25"/>
    <row r="5" spans="27:27" x14ac:dyDescent="0.25"/>
    <row r="6" spans="27:27" x14ac:dyDescent="0.25"/>
    <row r="7" spans="27:27" x14ac:dyDescent="0.25"/>
    <row r="8" spans="27:27" x14ac:dyDescent="0.25"/>
    <row r="9" spans="27:27" x14ac:dyDescent="0.25"/>
    <row r="10" spans="27:27" x14ac:dyDescent="0.25"/>
    <row r="11" spans="27:27" x14ac:dyDescent="0.25"/>
    <row r="12" spans="27:27" x14ac:dyDescent="0.25"/>
    <row r="13" spans="27:27" x14ac:dyDescent="0.25"/>
    <row r="14" spans="27:27" x14ac:dyDescent="0.25"/>
    <row r="15" spans="27:27" x14ac:dyDescent="0.25"/>
    <row r="16" spans="27:2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22" x14ac:dyDescent="0.25"/>
    <row r="66" spans="1:22" x14ac:dyDescent="0.25">
      <c r="A66" s="191"/>
      <c r="B66" s="191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</row>
    <row r="67" spans="1:22" x14ac:dyDescent="0.25">
      <c r="A67" s="191"/>
      <c r="B67" s="191"/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</row>
    <row r="68" spans="1:22" x14ac:dyDescent="0.25">
      <c r="A68" s="191"/>
      <c r="B68" s="191"/>
      <c r="C68" s="191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</row>
    <row r="69" spans="1:22" x14ac:dyDescent="0.25">
      <c r="A69" s="301"/>
      <c r="B69" s="301"/>
      <c r="C69" s="301"/>
      <c r="D69" s="301"/>
      <c r="E69" s="301"/>
      <c r="F69" s="301"/>
      <c r="G69" s="301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  <c r="U69" s="301"/>
    </row>
    <row r="70" spans="1:22" x14ac:dyDescent="0.25">
      <c r="A70" s="302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4"/>
      <c r="V70" s="311"/>
    </row>
    <row r="71" spans="1:22" x14ac:dyDescent="0.25">
      <c r="A71" s="305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7"/>
      <c r="V71" s="312"/>
    </row>
    <row r="72" spans="1:22" x14ac:dyDescent="0.25">
      <c r="A72" s="305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7"/>
      <c r="V72" s="312"/>
    </row>
    <row r="73" spans="1:22" x14ac:dyDescent="0.25">
      <c r="A73" s="305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7"/>
      <c r="V73" s="312"/>
    </row>
    <row r="74" spans="1:22" x14ac:dyDescent="0.25">
      <c r="A74" s="305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7"/>
      <c r="V74" s="312"/>
    </row>
    <row r="75" spans="1:22" x14ac:dyDescent="0.25">
      <c r="A75" s="305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7"/>
      <c r="V75" s="312"/>
    </row>
    <row r="76" spans="1:22" x14ac:dyDescent="0.25">
      <c r="A76" s="305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7"/>
      <c r="V76" s="312"/>
    </row>
    <row r="77" spans="1:22" x14ac:dyDescent="0.25">
      <c r="A77" s="305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7"/>
      <c r="V77" s="312"/>
    </row>
    <row r="78" spans="1:22" x14ac:dyDescent="0.25">
      <c r="A78" s="305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7"/>
      <c r="V78" s="312"/>
    </row>
    <row r="79" spans="1:22" x14ac:dyDescent="0.25">
      <c r="A79" s="305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7"/>
      <c r="V79" s="312"/>
    </row>
    <row r="80" spans="1:22" x14ac:dyDescent="0.25">
      <c r="A80" s="305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7"/>
      <c r="V80" s="312"/>
    </row>
    <row r="81" spans="1:22" x14ac:dyDescent="0.25">
      <c r="A81" s="305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7"/>
      <c r="V81" s="312"/>
    </row>
    <row r="82" spans="1:22" x14ac:dyDescent="0.25">
      <c r="A82" s="305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7"/>
      <c r="V82" s="312"/>
    </row>
    <row r="83" spans="1:22" x14ac:dyDescent="0.25">
      <c r="A83" s="305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7"/>
      <c r="V83" s="312"/>
    </row>
    <row r="84" spans="1:22" x14ac:dyDescent="0.25">
      <c r="A84" s="305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7"/>
      <c r="V84" s="312"/>
    </row>
    <row r="85" spans="1:22" x14ac:dyDescent="0.25">
      <c r="A85" s="305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7"/>
      <c r="V85" s="312"/>
    </row>
    <row r="86" spans="1:22" x14ac:dyDescent="0.25">
      <c r="A86" s="305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7"/>
      <c r="V86" s="312"/>
    </row>
    <row r="87" spans="1:22" x14ac:dyDescent="0.25">
      <c r="A87" s="305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7"/>
      <c r="V87" s="312"/>
    </row>
    <row r="88" spans="1:22" x14ac:dyDescent="0.25">
      <c r="A88" s="305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7"/>
      <c r="V88" s="312"/>
    </row>
    <row r="89" spans="1:22" x14ac:dyDescent="0.25">
      <c r="A89" s="305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7"/>
      <c r="V89" s="312"/>
    </row>
    <row r="90" spans="1:22" x14ac:dyDescent="0.25">
      <c r="A90" s="305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7"/>
      <c r="V90" s="312"/>
    </row>
    <row r="91" spans="1:22" x14ac:dyDescent="0.25">
      <c r="A91" s="305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7"/>
      <c r="V91" s="312"/>
    </row>
    <row r="92" spans="1:22" x14ac:dyDescent="0.25">
      <c r="A92" s="305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7"/>
      <c r="V92" s="312"/>
    </row>
    <row r="93" spans="1:22" x14ac:dyDescent="0.25">
      <c r="A93" s="305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7"/>
      <c r="V93" s="312"/>
    </row>
    <row r="94" spans="1:22" x14ac:dyDescent="0.25">
      <c r="A94" s="305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7"/>
      <c r="V94" s="312"/>
    </row>
    <row r="95" spans="1:22" x14ac:dyDescent="0.25">
      <c r="A95" s="305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7"/>
      <c r="V95" s="312"/>
    </row>
    <row r="96" spans="1:22" x14ac:dyDescent="0.25">
      <c r="A96" s="305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7"/>
      <c r="V96" s="312"/>
    </row>
    <row r="97" spans="1:22" x14ac:dyDescent="0.25">
      <c r="A97" s="305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7"/>
      <c r="V97" s="312"/>
    </row>
    <row r="98" spans="1:22" x14ac:dyDescent="0.25">
      <c r="A98" s="305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7"/>
      <c r="V98" s="312"/>
    </row>
    <row r="99" spans="1:22" x14ac:dyDescent="0.25">
      <c r="A99" s="305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7"/>
      <c r="V99" s="312"/>
    </row>
    <row r="100" spans="1:22" x14ac:dyDescent="0.25">
      <c r="A100" s="305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7"/>
      <c r="V100" s="312"/>
    </row>
    <row r="101" spans="1:22" x14ac:dyDescent="0.25">
      <c r="A101" s="305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7"/>
      <c r="V101" s="312"/>
    </row>
    <row r="102" spans="1:22" x14ac:dyDescent="0.25">
      <c r="A102" s="305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7"/>
      <c r="V102" s="312"/>
    </row>
    <row r="103" spans="1:22" x14ac:dyDescent="0.25">
      <c r="A103" s="305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7"/>
      <c r="V103" s="312"/>
    </row>
    <row r="104" spans="1:22" x14ac:dyDescent="0.25">
      <c r="A104" s="305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7"/>
      <c r="V104" s="312"/>
    </row>
    <row r="105" spans="1:22" x14ac:dyDescent="0.25">
      <c r="A105" s="305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7"/>
      <c r="V105" s="312"/>
    </row>
    <row r="106" spans="1:22" x14ac:dyDescent="0.25">
      <c r="A106" s="305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7"/>
      <c r="V106" s="312"/>
    </row>
    <row r="107" spans="1:22" x14ac:dyDescent="0.25">
      <c r="A107" s="305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7"/>
      <c r="V107" s="312"/>
    </row>
    <row r="108" spans="1:22" x14ac:dyDescent="0.25">
      <c r="A108" s="305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7"/>
      <c r="V108" s="312"/>
    </row>
    <row r="109" spans="1:22" x14ac:dyDescent="0.25">
      <c r="A109" s="305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7"/>
      <c r="V109" s="312"/>
    </row>
    <row r="110" spans="1:22" x14ac:dyDescent="0.25">
      <c r="A110" s="305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7"/>
      <c r="V110" s="312"/>
    </row>
    <row r="111" spans="1:22" x14ac:dyDescent="0.25">
      <c r="A111" s="305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7"/>
      <c r="V111" s="312"/>
    </row>
    <row r="112" spans="1:22" x14ac:dyDescent="0.25">
      <c r="A112" s="305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7"/>
      <c r="V112" s="312"/>
    </row>
    <row r="113" spans="1:22" x14ac:dyDescent="0.25">
      <c r="A113" s="305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7"/>
      <c r="V113" s="312"/>
    </row>
    <row r="114" spans="1:22" x14ac:dyDescent="0.25">
      <c r="A114" s="305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7"/>
      <c r="V114" s="312"/>
    </row>
    <row r="115" spans="1:22" x14ac:dyDescent="0.25">
      <c r="A115" s="305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7"/>
      <c r="V115" s="312"/>
    </row>
    <row r="116" spans="1:22" x14ac:dyDescent="0.25">
      <c r="A116" s="305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7"/>
      <c r="V116" s="312"/>
    </row>
    <row r="117" spans="1:22" x14ac:dyDescent="0.25">
      <c r="A117" s="305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7"/>
      <c r="V117" s="312"/>
    </row>
    <row r="118" spans="1:22" x14ac:dyDescent="0.25">
      <c r="A118" s="305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7"/>
      <c r="V118" s="312"/>
    </row>
    <row r="119" spans="1:22" x14ac:dyDescent="0.25">
      <c r="A119" s="305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7"/>
      <c r="V119" s="312"/>
    </row>
    <row r="120" spans="1:22" x14ac:dyDescent="0.25">
      <c r="A120" s="305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7"/>
      <c r="V120" s="312"/>
    </row>
    <row r="121" spans="1:22" x14ac:dyDescent="0.25">
      <c r="A121" s="305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7"/>
      <c r="V121" s="312"/>
    </row>
    <row r="122" spans="1:22" x14ac:dyDescent="0.25">
      <c r="A122" s="308"/>
      <c r="B122" s="309"/>
      <c r="C122" s="309"/>
      <c r="D122" s="309"/>
      <c r="E122" s="309"/>
      <c r="F122" s="309"/>
      <c r="G122" s="309"/>
      <c r="H122" s="309"/>
      <c r="I122" s="309"/>
      <c r="J122" s="309"/>
      <c r="K122" s="309"/>
      <c r="L122" s="309"/>
      <c r="M122" s="309"/>
      <c r="N122" s="309"/>
      <c r="O122" s="309"/>
      <c r="P122" s="309"/>
      <c r="Q122" s="309"/>
      <c r="R122" s="309"/>
      <c r="S122" s="309"/>
      <c r="T122" s="309"/>
      <c r="U122" s="310"/>
      <c r="V122" s="312"/>
    </row>
    <row r="123" spans="1:22" x14ac:dyDescent="0.25">
      <c r="V123" s="312"/>
    </row>
    <row r="124" spans="1:22" x14ac:dyDescent="0.25">
      <c r="V124" s="312"/>
    </row>
    <row r="125" spans="1:22" x14ac:dyDescent="0.25">
      <c r="V125" s="312"/>
    </row>
    <row r="126" spans="1:22" x14ac:dyDescent="0.25">
      <c r="V126" s="312"/>
    </row>
    <row r="127" spans="1:22" x14ac:dyDescent="0.25">
      <c r="V127" s="312"/>
    </row>
    <row r="128" spans="1:22" x14ac:dyDescent="0.25">
      <c r="V128" s="312"/>
    </row>
    <row r="129" spans="22:22" x14ac:dyDescent="0.25">
      <c r="V129" s="312"/>
    </row>
    <row r="130" spans="22:22" x14ac:dyDescent="0.25">
      <c r="V130" s="312"/>
    </row>
    <row r="131" spans="22:22" x14ac:dyDescent="0.25">
      <c r="V131" s="312"/>
    </row>
    <row r="132" spans="22:22" x14ac:dyDescent="0.25">
      <c r="V132" s="313"/>
    </row>
  </sheetData>
  <phoneticPr fontId="2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606" r:id="rId4" name="Spinner 4886">
              <controlPr defaultSize="0" autoPict="0">
                <anchor moveWithCells="1" sizeWithCells="1">
                  <from>
                    <xdr:col>23</xdr:col>
                    <xdr:colOff>38100</xdr:colOff>
                    <xdr:row>4</xdr:row>
                    <xdr:rowOff>123825</xdr:rowOff>
                  </from>
                  <to>
                    <xdr:col>24</xdr:col>
                    <xdr:colOff>228600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EH27"/>
  <sheetViews>
    <sheetView showGridLines="0" workbookViewId="0"/>
  </sheetViews>
  <sheetFormatPr defaultRowHeight="12.75" x14ac:dyDescent="0.25"/>
  <cols>
    <col min="2" max="2" width="19.140625" customWidth="1"/>
    <col min="3" max="21" width="9.5703125" customWidth="1"/>
  </cols>
  <sheetData>
    <row r="2" spans="1:138" x14ac:dyDescent="0.25">
      <c r="B2" s="28">
        <v>45</v>
      </c>
    </row>
    <row r="3" spans="1:138" x14ac:dyDescent="0.25">
      <c r="B3" s="24" t="s">
        <v>19</v>
      </c>
      <c r="C3" s="30">
        <v>1</v>
      </c>
      <c r="D3" s="30">
        <v>2</v>
      </c>
      <c r="E3" s="30">
        <v>3</v>
      </c>
      <c r="F3" s="30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  <c r="CY3">
        <v>101</v>
      </c>
      <c r="CZ3">
        <v>102</v>
      </c>
      <c r="DA3">
        <v>103</v>
      </c>
      <c r="DB3">
        <v>104</v>
      </c>
      <c r="DC3">
        <v>105</v>
      </c>
      <c r="DD3">
        <v>106</v>
      </c>
      <c r="DE3">
        <v>107</v>
      </c>
      <c r="DF3">
        <v>108</v>
      </c>
      <c r="DG3">
        <v>109</v>
      </c>
      <c r="DH3">
        <v>110</v>
      </c>
      <c r="DI3">
        <v>111</v>
      </c>
      <c r="DJ3">
        <v>112</v>
      </c>
      <c r="DK3">
        <v>113</v>
      </c>
      <c r="DL3">
        <v>114</v>
      </c>
      <c r="DM3">
        <v>115</v>
      </c>
      <c r="DN3">
        <v>116</v>
      </c>
      <c r="DO3">
        <v>117</v>
      </c>
      <c r="DP3">
        <v>118</v>
      </c>
      <c r="DQ3">
        <v>119</v>
      </c>
      <c r="DR3">
        <v>120</v>
      </c>
      <c r="DS3">
        <v>121</v>
      </c>
      <c r="DT3">
        <v>122</v>
      </c>
      <c r="DU3">
        <v>123</v>
      </c>
      <c r="DV3">
        <v>124</v>
      </c>
      <c r="DW3">
        <v>125</v>
      </c>
      <c r="DX3">
        <v>126</v>
      </c>
      <c r="DY3">
        <v>127</v>
      </c>
      <c r="DZ3">
        <v>128</v>
      </c>
      <c r="EA3">
        <v>129</v>
      </c>
      <c r="EB3">
        <v>130</v>
      </c>
      <c r="EC3">
        <v>131</v>
      </c>
      <c r="ED3">
        <v>132</v>
      </c>
      <c r="EE3">
        <v>133</v>
      </c>
      <c r="EF3">
        <v>134</v>
      </c>
      <c r="EG3">
        <v>135</v>
      </c>
      <c r="EH3">
        <v>136</v>
      </c>
    </row>
    <row r="4" spans="1:138" x14ac:dyDescent="0.25">
      <c r="A4" s="23"/>
      <c r="B4" s="24" t="s">
        <v>3</v>
      </c>
      <c r="C4" s="31">
        <v>899</v>
      </c>
      <c r="D4" s="31">
        <v>1682</v>
      </c>
      <c r="E4" s="31">
        <v>1564</v>
      </c>
      <c r="F4" s="31">
        <v>1409</v>
      </c>
      <c r="G4" s="23">
        <v>614</v>
      </c>
      <c r="H4" s="23">
        <v>614</v>
      </c>
      <c r="I4" s="23">
        <v>727</v>
      </c>
      <c r="J4" s="23">
        <v>630</v>
      </c>
      <c r="K4" s="23">
        <v>659</v>
      </c>
      <c r="L4" s="23">
        <v>1752</v>
      </c>
      <c r="M4" s="23">
        <v>1355</v>
      </c>
      <c r="N4" s="23">
        <v>540</v>
      </c>
      <c r="O4" s="23">
        <v>547</v>
      </c>
      <c r="P4" s="23">
        <v>572</v>
      </c>
      <c r="Q4" s="23">
        <v>450</v>
      </c>
      <c r="R4" s="23">
        <v>676</v>
      </c>
      <c r="S4" s="23">
        <v>1741</v>
      </c>
      <c r="T4" s="23">
        <v>1210</v>
      </c>
      <c r="U4" s="23">
        <v>649</v>
      </c>
      <c r="V4" s="23">
        <v>491</v>
      </c>
      <c r="W4" s="23">
        <v>694</v>
      </c>
      <c r="X4" s="23">
        <v>558</v>
      </c>
      <c r="Y4" s="23">
        <v>765</v>
      </c>
      <c r="Z4" s="23">
        <v>1617</v>
      </c>
      <c r="AA4" s="23">
        <v>1241</v>
      </c>
      <c r="AB4" s="23">
        <v>480</v>
      </c>
      <c r="AC4" s="23">
        <v>566</v>
      </c>
      <c r="AD4" s="23">
        <v>616</v>
      </c>
      <c r="AE4" s="23">
        <v>549</v>
      </c>
      <c r="AF4" s="23">
        <v>740</v>
      </c>
      <c r="AG4" s="23">
        <v>1556</v>
      </c>
      <c r="AH4" s="23">
        <v>1267</v>
      </c>
      <c r="AI4" s="23">
        <v>719</v>
      </c>
      <c r="AJ4" s="23">
        <v>500</v>
      </c>
      <c r="AK4" s="23">
        <v>715</v>
      </c>
      <c r="AL4" s="23">
        <v>606</v>
      </c>
      <c r="AM4" s="23">
        <v>985</v>
      </c>
      <c r="AN4" s="23">
        <v>1776</v>
      </c>
      <c r="AO4" s="23">
        <v>1300</v>
      </c>
      <c r="AP4" s="23">
        <v>617</v>
      </c>
      <c r="AQ4" s="23">
        <v>579</v>
      </c>
      <c r="AR4" s="23">
        <v>697</v>
      </c>
      <c r="AS4" s="23">
        <v>561</v>
      </c>
      <c r="AT4" s="23">
        <v>755</v>
      </c>
      <c r="AU4" s="23">
        <v>1461</v>
      </c>
      <c r="AV4" s="23">
        <v>989</v>
      </c>
      <c r="AW4" s="23">
        <v>512</v>
      </c>
      <c r="AX4" s="23">
        <v>435</v>
      </c>
      <c r="AY4" s="23">
        <v>435</v>
      </c>
      <c r="AZ4" s="23">
        <v>374</v>
      </c>
      <c r="BA4" s="23">
        <v>410</v>
      </c>
      <c r="BB4" s="23">
        <v>764</v>
      </c>
      <c r="BC4" s="23">
        <v>650</v>
      </c>
      <c r="BD4" s="23">
        <v>346</v>
      </c>
      <c r="BE4" s="23">
        <v>240</v>
      </c>
      <c r="BF4" s="23">
        <v>221</v>
      </c>
      <c r="BG4" s="23">
        <v>301</v>
      </c>
      <c r="BH4" s="23">
        <v>383</v>
      </c>
      <c r="BI4" s="23">
        <v>534</v>
      </c>
      <c r="BJ4" s="23">
        <v>412</v>
      </c>
      <c r="BK4" s="23">
        <v>217</v>
      </c>
      <c r="BL4" s="23">
        <v>167</v>
      </c>
      <c r="BM4" s="23">
        <v>187</v>
      </c>
      <c r="BN4" s="23">
        <v>180</v>
      </c>
      <c r="BO4" s="23">
        <v>246</v>
      </c>
      <c r="BP4" s="23">
        <v>439</v>
      </c>
      <c r="BQ4" s="23">
        <v>248</v>
      </c>
      <c r="BR4" s="23">
        <v>151</v>
      </c>
      <c r="BS4" s="23">
        <v>173</v>
      </c>
      <c r="BT4" s="23">
        <v>129</v>
      </c>
      <c r="BU4" s="23">
        <v>156</v>
      </c>
      <c r="BV4" s="23">
        <v>211</v>
      </c>
      <c r="BW4" s="23">
        <v>278</v>
      </c>
      <c r="BX4" s="23">
        <v>291</v>
      </c>
      <c r="BY4" s="23">
        <v>195</v>
      </c>
      <c r="BZ4" s="23">
        <v>172</v>
      </c>
      <c r="CA4" s="23">
        <v>164</v>
      </c>
      <c r="CB4" s="23">
        <v>247</v>
      </c>
      <c r="CC4" s="23">
        <v>415</v>
      </c>
      <c r="CD4" s="23">
        <v>250</v>
      </c>
      <c r="CE4" s="23">
        <v>263</v>
      </c>
      <c r="CF4" s="23">
        <v>219</v>
      </c>
      <c r="CG4" s="23">
        <v>252</v>
      </c>
      <c r="CH4" s="23">
        <v>278</v>
      </c>
      <c r="CI4" s="23">
        <v>293</v>
      </c>
      <c r="CJ4" s="23">
        <v>0</v>
      </c>
      <c r="CK4" s="23">
        <v>563</v>
      </c>
      <c r="CL4" s="23">
        <v>427</v>
      </c>
      <c r="CM4" s="23">
        <v>158</v>
      </c>
      <c r="CN4" s="23">
        <v>176</v>
      </c>
      <c r="CO4" s="23">
        <v>178</v>
      </c>
      <c r="CP4" s="23">
        <v>169</v>
      </c>
      <c r="CQ4" s="23">
        <v>220</v>
      </c>
      <c r="CR4" s="23">
        <v>676</v>
      </c>
      <c r="CS4" s="23">
        <v>588</v>
      </c>
      <c r="CT4" s="23">
        <v>268</v>
      </c>
      <c r="CU4" s="23">
        <v>300</v>
      </c>
      <c r="CV4" s="23">
        <v>289</v>
      </c>
      <c r="CW4" s="23">
        <v>409</v>
      </c>
      <c r="CX4" s="23">
        <v>399</v>
      </c>
      <c r="CY4" s="23">
        <v>1151</v>
      </c>
      <c r="CZ4" s="23">
        <v>834</v>
      </c>
      <c r="DA4" s="23">
        <v>293</v>
      </c>
      <c r="DB4" s="23">
        <v>420</v>
      </c>
      <c r="DC4" s="23">
        <v>527</v>
      </c>
      <c r="DD4" s="23">
        <v>473</v>
      </c>
      <c r="DE4" s="23">
        <v>712</v>
      </c>
      <c r="DF4" s="23">
        <v>1369</v>
      </c>
      <c r="DG4" s="23">
        <v>1223</v>
      </c>
      <c r="DH4" s="23">
        <v>751</v>
      </c>
      <c r="DI4" s="23">
        <v>690</v>
      </c>
      <c r="DJ4" s="23">
        <v>960</v>
      </c>
      <c r="DK4" s="23">
        <v>637</v>
      </c>
      <c r="DL4" s="23">
        <v>965</v>
      </c>
      <c r="DM4" s="23">
        <v>1879</v>
      </c>
      <c r="DN4" s="23">
        <v>1832</v>
      </c>
      <c r="DO4" s="23">
        <v>1042</v>
      </c>
      <c r="DP4" s="23">
        <v>1091</v>
      </c>
      <c r="DQ4" s="23">
        <v>1156</v>
      </c>
      <c r="DR4" s="23">
        <v>1170</v>
      </c>
      <c r="DS4" s="23">
        <v>1393</v>
      </c>
      <c r="DT4" s="23">
        <v>2534</v>
      </c>
      <c r="DU4" s="23">
        <v>2391</v>
      </c>
      <c r="DV4" s="23">
        <v>642</v>
      </c>
      <c r="DW4" s="23">
        <v>694</v>
      </c>
      <c r="DX4" s="23">
        <v>783</v>
      </c>
      <c r="DY4">
        <v>0</v>
      </c>
      <c r="DZ4">
        <v>0</v>
      </c>
      <c r="EA4">
        <v>1939</v>
      </c>
      <c r="EB4">
        <v>1652</v>
      </c>
      <c r="EC4">
        <v>861</v>
      </c>
      <c r="ED4">
        <v>910</v>
      </c>
      <c r="EE4">
        <v>1057</v>
      </c>
      <c r="EF4">
        <v>1493</v>
      </c>
      <c r="EG4">
        <v>2014</v>
      </c>
      <c r="EH4">
        <v>3306</v>
      </c>
    </row>
    <row r="5" spans="1:138" x14ac:dyDescent="0.25">
      <c r="B5" s="24" t="s">
        <v>5</v>
      </c>
      <c r="C5" s="23">
        <v>158</v>
      </c>
      <c r="D5" s="23">
        <v>265</v>
      </c>
      <c r="E5" s="23">
        <v>151</v>
      </c>
      <c r="F5" s="23">
        <v>0</v>
      </c>
      <c r="G5" s="23">
        <v>70</v>
      </c>
      <c r="H5" s="23">
        <v>69</v>
      </c>
      <c r="I5" s="23">
        <v>132</v>
      </c>
      <c r="J5" s="23">
        <v>96</v>
      </c>
      <c r="K5" s="23">
        <v>254</v>
      </c>
      <c r="L5" s="23">
        <v>164</v>
      </c>
      <c r="M5" s="23">
        <v>106</v>
      </c>
      <c r="N5" s="23">
        <v>54</v>
      </c>
      <c r="O5" s="23">
        <v>90</v>
      </c>
      <c r="P5" s="23">
        <v>104</v>
      </c>
      <c r="Q5" s="23">
        <v>99</v>
      </c>
      <c r="R5" s="23">
        <v>281</v>
      </c>
      <c r="S5" s="23">
        <v>236</v>
      </c>
      <c r="T5" s="23">
        <v>105</v>
      </c>
      <c r="U5" s="23">
        <v>93</v>
      </c>
      <c r="V5" s="23">
        <v>217</v>
      </c>
      <c r="W5" s="23">
        <v>121</v>
      </c>
      <c r="X5" s="23">
        <v>76</v>
      </c>
      <c r="Y5" s="23">
        <v>283</v>
      </c>
      <c r="Z5" s="23">
        <v>229</v>
      </c>
      <c r="AA5" s="23">
        <v>80</v>
      </c>
      <c r="AB5" s="23">
        <v>56</v>
      </c>
      <c r="AC5" s="23">
        <v>55</v>
      </c>
      <c r="AD5" s="23">
        <v>61</v>
      </c>
      <c r="AE5" s="23">
        <v>86</v>
      </c>
      <c r="AF5" s="23">
        <v>283</v>
      </c>
      <c r="AG5" s="23">
        <v>281</v>
      </c>
      <c r="AH5" s="23">
        <v>60</v>
      </c>
      <c r="AI5" s="23">
        <v>83</v>
      </c>
      <c r="AJ5" s="23">
        <v>248</v>
      </c>
      <c r="AK5" s="23">
        <v>65</v>
      </c>
      <c r="AL5" s="23">
        <v>192</v>
      </c>
      <c r="AM5" s="23">
        <v>354</v>
      </c>
      <c r="AN5" s="23">
        <v>224</v>
      </c>
      <c r="AO5" s="23">
        <v>0</v>
      </c>
      <c r="AP5" s="23">
        <v>99</v>
      </c>
      <c r="AQ5" s="23">
        <v>105</v>
      </c>
      <c r="AR5" s="23">
        <v>51</v>
      </c>
      <c r="AS5" s="23">
        <v>76</v>
      </c>
      <c r="AT5" s="23">
        <v>251</v>
      </c>
      <c r="AU5" s="23">
        <v>158</v>
      </c>
      <c r="AV5" s="23">
        <v>51</v>
      </c>
      <c r="AW5" s="23">
        <v>32</v>
      </c>
      <c r="AX5" s="23">
        <v>36</v>
      </c>
      <c r="AY5" s="23">
        <v>57</v>
      </c>
      <c r="AZ5" s="23">
        <v>68</v>
      </c>
      <c r="BA5" s="23">
        <v>245</v>
      </c>
      <c r="BB5" s="23">
        <v>158</v>
      </c>
      <c r="BC5" s="23">
        <v>64</v>
      </c>
      <c r="BD5" s="23">
        <v>89</v>
      </c>
      <c r="BE5" s="23">
        <v>77</v>
      </c>
      <c r="BF5" s="23">
        <v>84</v>
      </c>
      <c r="BG5" s="23">
        <v>82</v>
      </c>
      <c r="BH5" s="23">
        <v>313</v>
      </c>
      <c r="BI5" s="23">
        <v>174</v>
      </c>
      <c r="BJ5" s="23">
        <v>0</v>
      </c>
      <c r="BK5" s="23">
        <v>69</v>
      </c>
      <c r="BL5" s="23">
        <v>62</v>
      </c>
      <c r="BM5" s="23">
        <v>115</v>
      </c>
      <c r="BN5" s="23">
        <v>130</v>
      </c>
      <c r="BO5" s="23">
        <v>337</v>
      </c>
      <c r="BP5" s="23">
        <v>214</v>
      </c>
      <c r="BQ5" s="23">
        <v>141</v>
      </c>
      <c r="BR5" s="23">
        <v>82</v>
      </c>
      <c r="BS5" s="23">
        <v>79</v>
      </c>
      <c r="BT5" s="23">
        <v>146</v>
      </c>
      <c r="BU5" s="23">
        <v>132</v>
      </c>
      <c r="BV5" s="23">
        <v>543</v>
      </c>
      <c r="BW5" s="23">
        <v>353</v>
      </c>
      <c r="BX5" s="23">
        <v>150</v>
      </c>
      <c r="BY5" s="23">
        <v>87</v>
      </c>
      <c r="BZ5" s="23">
        <v>241</v>
      </c>
      <c r="CA5" s="23">
        <v>238</v>
      </c>
      <c r="CB5" s="23">
        <v>251</v>
      </c>
      <c r="CC5" s="23">
        <v>656</v>
      </c>
      <c r="CD5" s="23">
        <v>473</v>
      </c>
      <c r="CE5" s="23">
        <v>220</v>
      </c>
      <c r="CF5" s="23">
        <v>256</v>
      </c>
      <c r="CG5" s="23">
        <v>216</v>
      </c>
      <c r="CH5" s="23">
        <v>338</v>
      </c>
      <c r="CI5" s="23">
        <v>354</v>
      </c>
      <c r="CJ5" s="23">
        <v>760</v>
      </c>
      <c r="CK5" s="23">
        <v>639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0</v>
      </c>
      <c r="DA5" s="23">
        <v>0</v>
      </c>
      <c r="DB5" s="23">
        <v>0</v>
      </c>
      <c r="DC5" s="23">
        <v>0</v>
      </c>
      <c r="DD5" s="23">
        <v>0</v>
      </c>
      <c r="DE5" s="23">
        <v>0</v>
      </c>
      <c r="DF5" s="23" t="s">
        <v>8</v>
      </c>
      <c r="DG5" s="23" t="s">
        <v>8</v>
      </c>
      <c r="DH5" s="23" t="s">
        <v>8</v>
      </c>
      <c r="DI5" s="23" t="s">
        <v>8</v>
      </c>
      <c r="DJ5" s="23" t="s">
        <v>8</v>
      </c>
      <c r="DK5" s="23" t="s">
        <v>8</v>
      </c>
      <c r="DL5" s="23" t="s">
        <v>8</v>
      </c>
      <c r="DM5" s="23" t="s">
        <v>8</v>
      </c>
      <c r="DN5" s="23" t="s">
        <v>8</v>
      </c>
      <c r="DO5" s="23" t="s">
        <v>8</v>
      </c>
      <c r="DP5" s="23" t="s">
        <v>8</v>
      </c>
      <c r="DQ5" s="23" t="s">
        <v>8</v>
      </c>
      <c r="DR5" s="23" t="s">
        <v>8</v>
      </c>
      <c r="DS5" s="23" t="s">
        <v>8</v>
      </c>
      <c r="DT5" s="23" t="s">
        <v>8</v>
      </c>
      <c r="DU5" s="23" t="s">
        <v>8</v>
      </c>
      <c r="DV5" s="23" t="s">
        <v>8</v>
      </c>
      <c r="DW5" s="23" t="s">
        <v>8</v>
      </c>
      <c r="DX5" s="23" t="s">
        <v>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25">
      <c r="B6" s="24" t="s">
        <v>4</v>
      </c>
      <c r="C6" s="23">
        <v>89</v>
      </c>
      <c r="D6" s="23">
        <v>98</v>
      </c>
      <c r="E6" s="23">
        <v>188</v>
      </c>
      <c r="F6" s="23">
        <v>158</v>
      </c>
      <c r="G6" s="23">
        <v>181</v>
      </c>
      <c r="H6" s="23">
        <v>36</v>
      </c>
      <c r="I6" s="23">
        <v>60</v>
      </c>
      <c r="J6" s="23">
        <v>73</v>
      </c>
      <c r="K6" s="23">
        <v>110</v>
      </c>
      <c r="L6" s="23">
        <v>344</v>
      </c>
      <c r="M6" s="23">
        <v>356</v>
      </c>
      <c r="N6" s="23">
        <v>225</v>
      </c>
      <c r="O6" s="23">
        <v>38</v>
      </c>
      <c r="P6" s="23">
        <v>72</v>
      </c>
      <c r="Q6" s="23">
        <v>44</v>
      </c>
      <c r="R6" s="23">
        <v>82</v>
      </c>
      <c r="S6" s="23">
        <v>331</v>
      </c>
      <c r="T6" s="23">
        <v>265</v>
      </c>
      <c r="U6" s="23">
        <v>0</v>
      </c>
      <c r="V6" s="23">
        <v>60</v>
      </c>
      <c r="W6" s="23">
        <v>65</v>
      </c>
      <c r="X6" s="23">
        <v>64</v>
      </c>
      <c r="Y6" s="23">
        <v>110</v>
      </c>
      <c r="Z6" s="23">
        <v>320</v>
      </c>
      <c r="AA6" s="23">
        <v>280</v>
      </c>
      <c r="AB6" s="23">
        <v>78</v>
      </c>
      <c r="AC6" s="23">
        <v>54</v>
      </c>
      <c r="AD6" s="23">
        <v>176</v>
      </c>
      <c r="AE6" s="23">
        <v>55</v>
      </c>
      <c r="AF6" s="23">
        <v>134</v>
      </c>
      <c r="AG6" s="23">
        <v>349</v>
      </c>
      <c r="AH6" s="23">
        <v>407</v>
      </c>
      <c r="AI6" s="23">
        <v>60</v>
      </c>
      <c r="AJ6" s="23">
        <v>61</v>
      </c>
      <c r="AK6" s="23">
        <v>96</v>
      </c>
      <c r="AL6" s="23">
        <v>85</v>
      </c>
      <c r="AM6" s="23">
        <v>155</v>
      </c>
      <c r="AN6" s="23">
        <v>372</v>
      </c>
      <c r="AO6" s="23">
        <v>355</v>
      </c>
      <c r="AP6" s="23">
        <v>0</v>
      </c>
      <c r="AQ6" s="23">
        <v>106</v>
      </c>
      <c r="AR6" s="23">
        <v>157</v>
      </c>
      <c r="AS6" s="23">
        <v>133</v>
      </c>
      <c r="AT6" s="23">
        <v>177</v>
      </c>
      <c r="AU6" s="23">
        <v>465</v>
      </c>
      <c r="AV6" s="23">
        <v>361</v>
      </c>
      <c r="AW6" s="23">
        <v>123</v>
      </c>
      <c r="AX6" s="23">
        <v>121</v>
      </c>
      <c r="AY6" s="23">
        <v>118</v>
      </c>
      <c r="AZ6" s="23">
        <v>127</v>
      </c>
      <c r="BA6" s="23">
        <v>244</v>
      </c>
      <c r="BB6" s="23">
        <v>569</v>
      </c>
      <c r="BC6" s="23">
        <v>527</v>
      </c>
      <c r="BD6" s="23">
        <v>124</v>
      </c>
      <c r="BE6" s="23">
        <v>202</v>
      </c>
      <c r="BF6" s="23">
        <v>252</v>
      </c>
      <c r="BG6" s="23">
        <v>122</v>
      </c>
      <c r="BH6" s="23">
        <v>243</v>
      </c>
      <c r="BI6" s="23">
        <v>561</v>
      </c>
      <c r="BJ6" s="23">
        <v>515</v>
      </c>
      <c r="BK6" s="23">
        <v>179</v>
      </c>
      <c r="BL6" s="23">
        <v>169</v>
      </c>
      <c r="BM6" s="23">
        <v>216</v>
      </c>
      <c r="BN6" s="23">
        <v>109</v>
      </c>
      <c r="BO6" s="23">
        <v>152</v>
      </c>
      <c r="BP6" s="23">
        <v>493</v>
      </c>
      <c r="BQ6" s="23">
        <v>388</v>
      </c>
      <c r="BR6" s="23">
        <v>108</v>
      </c>
      <c r="BS6" s="23">
        <v>92</v>
      </c>
      <c r="BT6" s="23">
        <v>70</v>
      </c>
      <c r="BU6" s="23">
        <v>100</v>
      </c>
      <c r="BV6" s="23">
        <v>134</v>
      </c>
      <c r="BW6" s="23">
        <v>316</v>
      </c>
      <c r="BX6" s="23">
        <v>302</v>
      </c>
      <c r="BY6" s="23">
        <v>96</v>
      </c>
      <c r="BZ6" s="23">
        <v>63</v>
      </c>
      <c r="CA6" s="23">
        <v>102</v>
      </c>
      <c r="CB6" s="23">
        <v>133</v>
      </c>
      <c r="CC6" s="23">
        <v>119</v>
      </c>
      <c r="CD6" s="23">
        <v>358</v>
      </c>
      <c r="CE6" s="23">
        <v>376</v>
      </c>
      <c r="CF6" s="23">
        <v>130</v>
      </c>
      <c r="CG6" s="23">
        <v>166</v>
      </c>
      <c r="CH6" s="23">
        <v>201</v>
      </c>
      <c r="CI6" s="23">
        <v>185</v>
      </c>
      <c r="CJ6" s="23">
        <v>257</v>
      </c>
      <c r="CK6" s="23">
        <v>578</v>
      </c>
      <c r="CL6" s="23">
        <v>432</v>
      </c>
      <c r="CM6" s="23">
        <v>305</v>
      </c>
      <c r="CN6" s="23">
        <v>332</v>
      </c>
      <c r="CO6" s="23">
        <v>633</v>
      </c>
      <c r="CP6" s="23">
        <v>503</v>
      </c>
      <c r="CQ6" s="23">
        <v>539</v>
      </c>
      <c r="CR6" s="23">
        <v>0</v>
      </c>
      <c r="CS6" s="23">
        <v>1215</v>
      </c>
      <c r="CT6" s="23">
        <v>121</v>
      </c>
      <c r="CU6" s="23">
        <v>239</v>
      </c>
      <c r="CV6" s="23">
        <v>390</v>
      </c>
      <c r="CW6" s="23">
        <v>400</v>
      </c>
      <c r="CX6" s="23">
        <v>493</v>
      </c>
      <c r="CY6" s="23">
        <v>1009</v>
      </c>
      <c r="CZ6" s="23">
        <v>1089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0</v>
      </c>
      <c r="DI6" s="23">
        <v>0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25">
      <c r="B7" s="24" t="s">
        <v>10</v>
      </c>
      <c r="C7" s="23">
        <v>285</v>
      </c>
      <c r="D7" s="23">
        <v>356</v>
      </c>
      <c r="E7" s="23">
        <v>130</v>
      </c>
      <c r="F7" s="23">
        <v>107</v>
      </c>
      <c r="G7" s="23">
        <v>143</v>
      </c>
      <c r="H7" s="23">
        <v>509</v>
      </c>
      <c r="I7" s="23">
        <v>390</v>
      </c>
      <c r="J7" s="23">
        <v>0</v>
      </c>
      <c r="K7" s="23">
        <v>129</v>
      </c>
      <c r="L7" s="23">
        <v>469</v>
      </c>
      <c r="M7" s="23">
        <v>135</v>
      </c>
      <c r="N7" s="23">
        <v>181</v>
      </c>
      <c r="O7" s="23">
        <v>569</v>
      </c>
      <c r="P7" s="23">
        <v>470</v>
      </c>
      <c r="Q7" s="23">
        <v>131</v>
      </c>
      <c r="R7" s="23">
        <v>137</v>
      </c>
      <c r="S7" s="23">
        <v>174</v>
      </c>
      <c r="T7" s="23">
        <v>119</v>
      </c>
      <c r="U7" s="23">
        <v>230</v>
      </c>
      <c r="V7" s="23">
        <v>661</v>
      </c>
      <c r="W7" s="23">
        <v>559</v>
      </c>
      <c r="X7" s="23">
        <v>202</v>
      </c>
      <c r="Y7" s="23">
        <v>184</v>
      </c>
      <c r="Z7" s="23">
        <v>128</v>
      </c>
      <c r="AA7" s="23">
        <v>160</v>
      </c>
      <c r="AB7" s="23">
        <v>203</v>
      </c>
      <c r="AC7" s="23">
        <v>841</v>
      </c>
      <c r="AD7" s="23">
        <v>701</v>
      </c>
      <c r="AE7" s="23">
        <v>250</v>
      </c>
      <c r="AF7" s="23">
        <v>240</v>
      </c>
      <c r="AG7" s="23">
        <v>419</v>
      </c>
      <c r="AH7" s="23">
        <v>457</v>
      </c>
      <c r="AI7" s="23">
        <v>210</v>
      </c>
      <c r="AJ7" s="23">
        <v>558</v>
      </c>
      <c r="AK7" s="23">
        <v>423</v>
      </c>
      <c r="AL7" s="23">
        <v>160</v>
      </c>
      <c r="AM7" s="23">
        <v>194</v>
      </c>
      <c r="AN7" s="23">
        <v>163</v>
      </c>
      <c r="AO7" s="23">
        <v>182</v>
      </c>
      <c r="AP7" s="23">
        <v>274</v>
      </c>
      <c r="AQ7" s="23">
        <v>656</v>
      </c>
      <c r="AR7" s="23">
        <v>406</v>
      </c>
      <c r="AS7" s="23">
        <v>173</v>
      </c>
      <c r="AT7" s="23">
        <v>170</v>
      </c>
      <c r="AU7" s="23">
        <v>138</v>
      </c>
      <c r="AV7" s="23">
        <v>157</v>
      </c>
      <c r="AW7" s="23">
        <v>189</v>
      </c>
      <c r="AX7" s="23">
        <v>466</v>
      </c>
      <c r="AY7" s="23">
        <v>324</v>
      </c>
      <c r="AZ7" s="23">
        <v>0</v>
      </c>
      <c r="BA7" s="23">
        <v>112</v>
      </c>
      <c r="BB7" s="23">
        <v>126</v>
      </c>
      <c r="BC7" s="23">
        <v>115</v>
      </c>
      <c r="BD7" s="23">
        <v>154</v>
      </c>
      <c r="BE7" s="23">
        <v>476</v>
      </c>
      <c r="BF7" s="23">
        <v>264</v>
      </c>
      <c r="BG7" s="23">
        <v>174</v>
      </c>
      <c r="BH7" s="23">
        <v>124</v>
      </c>
      <c r="BI7" s="23">
        <v>309</v>
      </c>
      <c r="BJ7" s="23">
        <v>228</v>
      </c>
      <c r="BK7" s="23">
        <v>289</v>
      </c>
      <c r="BL7" s="23">
        <v>564</v>
      </c>
      <c r="BM7" s="23">
        <v>327</v>
      </c>
      <c r="BN7" s="23">
        <v>131</v>
      </c>
      <c r="BO7" s="23">
        <v>149</v>
      </c>
      <c r="BP7" s="23">
        <v>80</v>
      </c>
      <c r="BQ7" s="23">
        <v>317</v>
      </c>
      <c r="BR7" s="23">
        <v>258</v>
      </c>
      <c r="BS7" s="23">
        <v>455</v>
      </c>
      <c r="BT7" s="23">
        <v>300</v>
      </c>
      <c r="BU7" s="23">
        <v>114</v>
      </c>
      <c r="BV7" s="23">
        <v>106</v>
      </c>
      <c r="BW7" s="23">
        <v>94</v>
      </c>
      <c r="BX7" s="23">
        <v>111</v>
      </c>
      <c r="BY7" s="23">
        <v>108</v>
      </c>
      <c r="BZ7" s="23">
        <v>604</v>
      </c>
      <c r="CA7" s="23">
        <v>456</v>
      </c>
      <c r="CB7" s="23">
        <v>127</v>
      </c>
      <c r="CC7" s="23">
        <v>130</v>
      </c>
      <c r="CD7" s="23">
        <v>123</v>
      </c>
      <c r="CE7" s="23">
        <v>128</v>
      </c>
      <c r="CF7" s="23">
        <v>219</v>
      </c>
      <c r="CG7" s="23">
        <v>665</v>
      </c>
      <c r="CH7" s="23">
        <v>528</v>
      </c>
      <c r="CI7" s="23">
        <v>0</v>
      </c>
      <c r="CJ7" s="23">
        <v>114</v>
      </c>
      <c r="CK7" s="23">
        <v>275</v>
      </c>
      <c r="CL7" s="23">
        <v>181</v>
      </c>
      <c r="CM7" s="23">
        <v>298</v>
      </c>
      <c r="CN7" s="23">
        <v>690</v>
      </c>
      <c r="CO7" s="23">
        <v>660</v>
      </c>
      <c r="CP7" s="23">
        <v>242</v>
      </c>
      <c r="CQ7" s="23">
        <v>285</v>
      </c>
      <c r="CR7" s="23">
        <v>718</v>
      </c>
      <c r="CS7" s="23">
        <v>240</v>
      </c>
      <c r="CT7" s="23">
        <v>403</v>
      </c>
      <c r="CU7" s="23">
        <v>858</v>
      </c>
      <c r="CV7" s="23">
        <v>784</v>
      </c>
      <c r="CW7" s="23">
        <v>1132</v>
      </c>
      <c r="CX7" s="23">
        <v>0</v>
      </c>
      <c r="CY7" s="23">
        <v>0</v>
      </c>
      <c r="CZ7" s="23">
        <v>0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0</v>
      </c>
      <c r="DJ7" s="23">
        <v>0</v>
      </c>
      <c r="DK7" s="23">
        <v>0</v>
      </c>
      <c r="DL7" s="23">
        <v>0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25">
      <c r="B8" s="24" t="s">
        <v>11</v>
      </c>
      <c r="C8" s="23">
        <v>342</v>
      </c>
      <c r="D8" s="23">
        <v>453</v>
      </c>
      <c r="E8" s="23">
        <v>338</v>
      </c>
      <c r="F8" s="23">
        <v>212</v>
      </c>
      <c r="G8" s="23">
        <v>211</v>
      </c>
      <c r="H8" s="23">
        <v>302</v>
      </c>
      <c r="I8" s="23">
        <v>232</v>
      </c>
      <c r="J8" s="23">
        <v>240</v>
      </c>
      <c r="K8" s="23">
        <v>489</v>
      </c>
      <c r="L8" s="23">
        <v>417</v>
      </c>
      <c r="M8" s="23">
        <v>230</v>
      </c>
      <c r="N8" s="23">
        <v>146</v>
      </c>
      <c r="O8" s="23">
        <v>226</v>
      </c>
      <c r="P8" s="23">
        <v>181</v>
      </c>
      <c r="Q8" s="23">
        <v>221</v>
      </c>
      <c r="R8" s="23">
        <v>453</v>
      </c>
      <c r="S8" s="23">
        <v>438</v>
      </c>
      <c r="T8" s="23">
        <v>474</v>
      </c>
      <c r="U8" s="23">
        <v>215</v>
      </c>
      <c r="V8" s="23">
        <v>155</v>
      </c>
      <c r="W8" s="23">
        <v>183</v>
      </c>
      <c r="X8" s="23">
        <v>226</v>
      </c>
      <c r="Y8" s="23">
        <v>507</v>
      </c>
      <c r="Z8" s="23">
        <v>395</v>
      </c>
      <c r="AA8" s="23">
        <v>30</v>
      </c>
      <c r="AB8" s="23">
        <v>210</v>
      </c>
      <c r="AC8" s="23">
        <v>194</v>
      </c>
      <c r="AD8" s="23">
        <v>212</v>
      </c>
      <c r="AE8" s="23">
        <v>296</v>
      </c>
      <c r="AF8" s="23">
        <v>602</v>
      </c>
      <c r="AG8" s="23">
        <v>577</v>
      </c>
      <c r="AH8" s="23">
        <v>254</v>
      </c>
      <c r="AI8" s="23">
        <v>212</v>
      </c>
      <c r="AJ8" s="23">
        <v>349</v>
      </c>
      <c r="AK8" s="23">
        <v>87</v>
      </c>
      <c r="AL8" s="23">
        <v>163</v>
      </c>
      <c r="AM8" s="23">
        <v>373</v>
      </c>
      <c r="AN8" s="23">
        <v>275</v>
      </c>
      <c r="AO8" s="23">
        <v>96</v>
      </c>
      <c r="AP8" s="23">
        <v>76</v>
      </c>
      <c r="AQ8" s="23">
        <v>138</v>
      </c>
      <c r="AR8" s="23">
        <v>127</v>
      </c>
      <c r="AS8" s="23">
        <v>0</v>
      </c>
      <c r="AT8" s="23">
        <v>0</v>
      </c>
      <c r="AU8" s="23">
        <v>295</v>
      </c>
      <c r="AV8" s="23">
        <v>327</v>
      </c>
      <c r="AW8" s="23">
        <v>77</v>
      </c>
      <c r="AX8" s="23">
        <v>79</v>
      </c>
      <c r="AY8" s="23">
        <v>198</v>
      </c>
      <c r="AZ8" s="23">
        <v>234</v>
      </c>
      <c r="BA8" s="23">
        <v>317</v>
      </c>
      <c r="BB8" s="23">
        <v>280</v>
      </c>
      <c r="BC8" s="23">
        <v>125</v>
      </c>
      <c r="BD8" s="23">
        <v>104</v>
      </c>
      <c r="BE8" s="23">
        <v>120</v>
      </c>
      <c r="BF8" s="23">
        <v>86</v>
      </c>
      <c r="BG8" s="23">
        <v>147</v>
      </c>
      <c r="BH8" s="23">
        <v>348</v>
      </c>
      <c r="BI8" s="23">
        <v>262</v>
      </c>
      <c r="BJ8" s="23">
        <v>99</v>
      </c>
      <c r="BK8" s="23">
        <v>87</v>
      </c>
      <c r="BL8" s="23">
        <v>169</v>
      </c>
      <c r="BM8" s="23">
        <v>73</v>
      </c>
      <c r="BN8" s="23">
        <v>136</v>
      </c>
      <c r="BO8" s="23">
        <v>400</v>
      </c>
      <c r="BP8" s="23">
        <v>439</v>
      </c>
      <c r="BQ8" s="23">
        <v>355</v>
      </c>
      <c r="BR8" s="23">
        <v>61</v>
      </c>
      <c r="BS8" s="23">
        <v>78</v>
      </c>
      <c r="BT8" s="23">
        <v>92</v>
      </c>
      <c r="BU8" s="23">
        <v>134</v>
      </c>
      <c r="BV8" s="23">
        <v>450</v>
      </c>
      <c r="BW8" s="23">
        <v>510</v>
      </c>
      <c r="BX8" s="23">
        <v>372</v>
      </c>
      <c r="BY8" s="23">
        <v>82</v>
      </c>
      <c r="BZ8" s="23">
        <v>124</v>
      </c>
      <c r="CA8" s="23">
        <v>70</v>
      </c>
      <c r="CB8" s="23">
        <v>192</v>
      </c>
      <c r="CC8" s="23">
        <v>524</v>
      </c>
      <c r="CD8" s="23">
        <v>445</v>
      </c>
      <c r="CE8" s="23">
        <v>0</v>
      </c>
      <c r="CF8" s="23">
        <v>194</v>
      </c>
      <c r="CG8" s="23">
        <v>91</v>
      </c>
      <c r="CH8" s="23">
        <v>110</v>
      </c>
      <c r="CI8" s="23">
        <v>124</v>
      </c>
      <c r="CJ8" s="23">
        <v>394</v>
      </c>
      <c r="CK8" s="23">
        <v>469</v>
      </c>
      <c r="CL8" s="23">
        <v>110</v>
      </c>
      <c r="CM8" s="23">
        <v>112</v>
      </c>
      <c r="CN8" s="23">
        <v>192</v>
      </c>
      <c r="CO8" s="23">
        <v>134</v>
      </c>
      <c r="CP8" s="23">
        <v>277</v>
      </c>
      <c r="CQ8" s="23">
        <v>457</v>
      </c>
      <c r="CR8" s="23">
        <v>402</v>
      </c>
      <c r="CS8" s="23">
        <v>168</v>
      </c>
      <c r="CT8" s="23">
        <v>164</v>
      </c>
      <c r="CU8" s="23">
        <v>241</v>
      </c>
      <c r="CV8" s="23">
        <v>212</v>
      </c>
      <c r="CW8" s="23">
        <v>278</v>
      </c>
      <c r="CX8" s="23">
        <v>799</v>
      </c>
      <c r="CY8" s="23">
        <v>816</v>
      </c>
      <c r="CZ8" s="23">
        <v>0</v>
      </c>
      <c r="DA8" s="23">
        <v>0</v>
      </c>
      <c r="DB8" s="23">
        <v>0</v>
      </c>
      <c r="DC8" s="23">
        <v>0</v>
      </c>
      <c r="DD8" s="23">
        <v>0</v>
      </c>
      <c r="DE8" s="23">
        <v>0</v>
      </c>
      <c r="DF8" s="23">
        <v>0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25">
      <c r="B9" s="24" t="s">
        <v>12</v>
      </c>
      <c r="C9" s="23">
        <v>1532</v>
      </c>
      <c r="D9" s="23">
        <v>1116</v>
      </c>
      <c r="E9" s="23">
        <v>632</v>
      </c>
      <c r="F9" s="23">
        <v>575</v>
      </c>
      <c r="G9" s="23">
        <v>573</v>
      </c>
      <c r="H9" s="23">
        <v>610</v>
      </c>
      <c r="I9" s="23">
        <v>747</v>
      </c>
      <c r="J9" s="23">
        <v>787</v>
      </c>
      <c r="K9" s="23">
        <v>0</v>
      </c>
      <c r="L9" s="23">
        <v>349</v>
      </c>
      <c r="M9" s="23">
        <v>367</v>
      </c>
      <c r="N9" s="23">
        <v>302</v>
      </c>
      <c r="O9" s="23">
        <v>339</v>
      </c>
      <c r="P9" s="23">
        <v>415</v>
      </c>
      <c r="Q9" s="23">
        <v>1098</v>
      </c>
      <c r="R9" s="23">
        <v>959</v>
      </c>
      <c r="S9" s="23">
        <v>395</v>
      </c>
      <c r="T9" s="23">
        <v>350</v>
      </c>
      <c r="U9" s="23">
        <v>424</v>
      </c>
      <c r="V9" s="23">
        <v>407</v>
      </c>
      <c r="W9" s="23">
        <v>462</v>
      </c>
      <c r="X9" s="23">
        <v>1337</v>
      </c>
      <c r="Y9" s="23">
        <v>928</v>
      </c>
      <c r="Z9" s="23">
        <v>420</v>
      </c>
      <c r="AA9" s="23">
        <v>382</v>
      </c>
      <c r="AB9" s="23">
        <v>365</v>
      </c>
      <c r="AC9" s="23">
        <v>319</v>
      </c>
      <c r="AD9" s="23">
        <v>510</v>
      </c>
      <c r="AE9" s="23">
        <v>0</v>
      </c>
      <c r="AF9" s="23">
        <v>0</v>
      </c>
      <c r="AG9" s="23">
        <v>809</v>
      </c>
      <c r="AH9" s="23">
        <v>694</v>
      </c>
      <c r="AI9" s="23">
        <v>424</v>
      </c>
      <c r="AJ9" s="23">
        <v>406</v>
      </c>
      <c r="AK9" s="23">
        <v>592</v>
      </c>
      <c r="AL9" s="23">
        <v>1310</v>
      </c>
      <c r="AM9" s="23">
        <v>1277</v>
      </c>
      <c r="AN9" s="23">
        <v>695</v>
      </c>
      <c r="AO9" s="23">
        <v>677</v>
      </c>
      <c r="AP9" s="23">
        <v>198</v>
      </c>
      <c r="AQ9" s="23">
        <v>186</v>
      </c>
      <c r="AR9" s="23">
        <v>256</v>
      </c>
      <c r="AS9" s="23">
        <v>638</v>
      </c>
      <c r="AT9" s="23">
        <v>507</v>
      </c>
      <c r="AU9" s="23">
        <v>258</v>
      </c>
      <c r="AV9" s="23">
        <v>245</v>
      </c>
      <c r="AW9" s="23">
        <v>195</v>
      </c>
      <c r="AX9" s="23">
        <v>190</v>
      </c>
      <c r="AY9" s="23">
        <v>294</v>
      </c>
      <c r="AZ9" s="23">
        <v>638</v>
      </c>
      <c r="BA9" s="23">
        <v>529</v>
      </c>
      <c r="BB9" s="23">
        <v>280</v>
      </c>
      <c r="BC9" s="23">
        <v>348</v>
      </c>
      <c r="BD9" s="23">
        <v>241</v>
      </c>
      <c r="BE9" s="23">
        <v>239</v>
      </c>
      <c r="BF9" s="23">
        <v>273</v>
      </c>
      <c r="BG9" s="23">
        <v>573</v>
      </c>
      <c r="BH9" s="23">
        <v>504</v>
      </c>
      <c r="BI9" s="23">
        <v>224</v>
      </c>
      <c r="BJ9" s="23">
        <v>196</v>
      </c>
      <c r="BK9" s="23">
        <v>471</v>
      </c>
      <c r="BL9" s="23">
        <v>228</v>
      </c>
      <c r="BM9" s="23">
        <v>234</v>
      </c>
      <c r="BN9" s="23">
        <v>554</v>
      </c>
      <c r="BO9" s="23">
        <v>465</v>
      </c>
      <c r="BP9" s="23">
        <v>259</v>
      </c>
      <c r="BQ9" s="23">
        <v>246</v>
      </c>
      <c r="BR9" s="23">
        <v>526</v>
      </c>
      <c r="BS9" s="23">
        <v>137</v>
      </c>
      <c r="BT9" s="23">
        <v>192</v>
      </c>
      <c r="BU9" s="23">
        <v>460</v>
      </c>
      <c r="BV9" s="23">
        <v>447</v>
      </c>
      <c r="BW9" s="23">
        <v>44</v>
      </c>
      <c r="BX9" s="23">
        <v>130</v>
      </c>
      <c r="BY9" s="23">
        <v>179</v>
      </c>
      <c r="BZ9" s="23">
        <v>152</v>
      </c>
      <c r="CA9" s="23">
        <v>213</v>
      </c>
      <c r="CB9" s="23">
        <v>575</v>
      </c>
      <c r="CC9" s="23">
        <v>417</v>
      </c>
      <c r="CD9" s="23">
        <v>164</v>
      </c>
      <c r="CE9" s="23">
        <v>197</v>
      </c>
      <c r="CF9" s="23">
        <v>168</v>
      </c>
      <c r="CG9" s="23">
        <v>185</v>
      </c>
      <c r="CH9" s="23">
        <v>232</v>
      </c>
      <c r="CI9" s="23">
        <v>739</v>
      </c>
      <c r="CJ9" s="23">
        <v>587</v>
      </c>
      <c r="CK9" s="23">
        <v>293</v>
      </c>
      <c r="CL9" s="23">
        <v>271</v>
      </c>
      <c r="CM9" s="23">
        <v>280</v>
      </c>
      <c r="CN9" s="23">
        <v>382</v>
      </c>
      <c r="CO9" s="23">
        <v>586</v>
      </c>
      <c r="CP9" s="23">
        <v>1007</v>
      </c>
      <c r="CQ9" s="23">
        <v>929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0</v>
      </c>
      <c r="DE9" s="23">
        <v>0</v>
      </c>
      <c r="DF9" s="23">
        <v>0</v>
      </c>
      <c r="DG9" s="23">
        <v>0</v>
      </c>
      <c r="DH9" s="23">
        <v>0</v>
      </c>
      <c r="DI9" s="23">
        <v>0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25">
      <c r="B10" s="24" t="s">
        <v>13</v>
      </c>
      <c r="C10" s="23">
        <v>106</v>
      </c>
      <c r="D10" s="23">
        <v>107</v>
      </c>
      <c r="E10" s="23">
        <v>287</v>
      </c>
      <c r="F10" s="23">
        <v>205</v>
      </c>
      <c r="G10" s="23">
        <v>115</v>
      </c>
      <c r="H10" s="23">
        <v>64</v>
      </c>
      <c r="I10" s="23">
        <v>106</v>
      </c>
      <c r="J10" s="23">
        <v>54</v>
      </c>
      <c r="K10" s="23">
        <v>96</v>
      </c>
      <c r="L10" s="23">
        <v>101</v>
      </c>
      <c r="M10" s="23">
        <v>282</v>
      </c>
      <c r="N10" s="23">
        <v>173</v>
      </c>
      <c r="O10" s="23">
        <v>85</v>
      </c>
      <c r="P10" s="23">
        <v>84</v>
      </c>
      <c r="Q10" s="23">
        <v>111</v>
      </c>
      <c r="R10" s="23">
        <v>107</v>
      </c>
      <c r="S10" s="23">
        <v>134</v>
      </c>
      <c r="T10" s="23">
        <v>213</v>
      </c>
      <c r="U10" s="23">
        <v>184</v>
      </c>
      <c r="V10" s="23">
        <v>59</v>
      </c>
      <c r="W10" s="23">
        <v>100</v>
      </c>
      <c r="X10" s="23">
        <v>73</v>
      </c>
      <c r="Y10" s="23">
        <v>97</v>
      </c>
      <c r="Z10" s="23">
        <v>112</v>
      </c>
      <c r="AA10" s="23">
        <v>266</v>
      </c>
      <c r="AB10" s="23">
        <v>204</v>
      </c>
      <c r="AC10" s="23">
        <v>200</v>
      </c>
      <c r="AD10" s="23">
        <v>68</v>
      </c>
      <c r="AE10" s="23">
        <v>128</v>
      </c>
      <c r="AF10" s="23">
        <v>54</v>
      </c>
      <c r="AG10" s="23">
        <v>122</v>
      </c>
      <c r="AH10" s="23">
        <v>157</v>
      </c>
      <c r="AI10" s="23">
        <v>164</v>
      </c>
      <c r="AJ10" s="23">
        <v>125</v>
      </c>
      <c r="AK10" s="23">
        <v>131</v>
      </c>
      <c r="AL10" s="23">
        <v>83</v>
      </c>
      <c r="AM10" s="23">
        <v>97</v>
      </c>
      <c r="AN10" s="23">
        <v>68</v>
      </c>
      <c r="AO10" s="23">
        <v>195</v>
      </c>
      <c r="AP10" s="23">
        <v>158</v>
      </c>
      <c r="AQ10" s="23">
        <v>25</v>
      </c>
      <c r="AR10" s="23">
        <v>122</v>
      </c>
      <c r="AS10" s="23">
        <v>102</v>
      </c>
      <c r="AT10" s="23">
        <v>74</v>
      </c>
      <c r="AU10" s="23">
        <v>159</v>
      </c>
      <c r="AV10" s="23">
        <v>194</v>
      </c>
      <c r="AW10" s="23">
        <v>154</v>
      </c>
      <c r="AX10" s="23">
        <v>84</v>
      </c>
      <c r="AY10" s="23">
        <v>62</v>
      </c>
      <c r="AZ10" s="23">
        <v>84</v>
      </c>
      <c r="BA10" s="23">
        <v>140</v>
      </c>
      <c r="BB10" s="23">
        <v>106</v>
      </c>
      <c r="BC10" s="23">
        <v>189</v>
      </c>
      <c r="BD10" s="23">
        <v>177</v>
      </c>
      <c r="BE10" s="23">
        <v>65</v>
      </c>
      <c r="BF10" s="23">
        <v>76</v>
      </c>
      <c r="BG10" s="23">
        <v>150</v>
      </c>
      <c r="BH10" s="23">
        <v>110</v>
      </c>
      <c r="BI10" s="23">
        <v>145</v>
      </c>
      <c r="BJ10" s="23">
        <v>223</v>
      </c>
      <c r="BK10" s="23">
        <v>318</v>
      </c>
      <c r="BL10" s="23">
        <v>140</v>
      </c>
      <c r="BM10" s="23">
        <v>81</v>
      </c>
      <c r="BN10" s="23">
        <v>137</v>
      </c>
      <c r="BO10" s="23">
        <v>120</v>
      </c>
      <c r="BP10" s="23">
        <v>166</v>
      </c>
      <c r="BQ10" s="23">
        <v>251</v>
      </c>
      <c r="BR10" s="23">
        <v>323</v>
      </c>
      <c r="BS10" s="23">
        <v>21</v>
      </c>
      <c r="BT10" s="23">
        <v>123</v>
      </c>
      <c r="BU10" s="23">
        <v>148</v>
      </c>
      <c r="BV10" s="23">
        <v>81</v>
      </c>
      <c r="BW10" s="23">
        <v>400</v>
      </c>
      <c r="BX10" s="23">
        <v>408</v>
      </c>
      <c r="BY10" s="23">
        <v>384</v>
      </c>
      <c r="BZ10" s="23">
        <v>147</v>
      </c>
      <c r="CA10" s="23">
        <v>87</v>
      </c>
      <c r="CB10" s="23">
        <v>122</v>
      </c>
      <c r="CC10" s="23">
        <v>126</v>
      </c>
      <c r="CD10" s="23">
        <v>194</v>
      </c>
      <c r="CE10" s="23">
        <v>497</v>
      </c>
      <c r="CF10" s="23">
        <v>437</v>
      </c>
      <c r="CG10" s="23">
        <v>197</v>
      </c>
      <c r="CH10" s="23">
        <v>175</v>
      </c>
      <c r="CI10" s="23">
        <v>288</v>
      </c>
      <c r="CJ10" s="23">
        <v>211</v>
      </c>
      <c r="CK10" s="23">
        <v>264</v>
      </c>
      <c r="CL10" s="23">
        <v>695</v>
      </c>
      <c r="CM10" s="23">
        <v>649</v>
      </c>
      <c r="CN10" s="23">
        <v>314</v>
      </c>
      <c r="CO10" s="23">
        <v>248</v>
      </c>
      <c r="CP10" s="23">
        <v>262</v>
      </c>
      <c r="CQ10" s="23">
        <v>364</v>
      </c>
      <c r="CR10" s="23">
        <v>361</v>
      </c>
      <c r="CS10" s="23">
        <v>701</v>
      </c>
      <c r="CT10" s="23">
        <v>786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 x14ac:dyDescent="0.25">
      <c r="B11" s="24" t="s">
        <v>14</v>
      </c>
      <c r="C11" s="23">
        <v>227</v>
      </c>
      <c r="D11" s="23">
        <v>274</v>
      </c>
      <c r="E11" s="23">
        <v>124</v>
      </c>
      <c r="F11" s="23">
        <v>105</v>
      </c>
      <c r="G11" s="23">
        <v>413</v>
      </c>
      <c r="H11" s="23">
        <v>305</v>
      </c>
      <c r="I11" s="23">
        <v>349</v>
      </c>
      <c r="J11" s="23">
        <v>336</v>
      </c>
      <c r="K11" s="23">
        <v>120</v>
      </c>
      <c r="L11" s="23">
        <v>96</v>
      </c>
      <c r="M11" s="23">
        <v>202</v>
      </c>
      <c r="N11" s="23">
        <v>383</v>
      </c>
      <c r="O11" s="23">
        <v>404</v>
      </c>
      <c r="P11" s="23">
        <v>371</v>
      </c>
      <c r="Q11" s="23">
        <v>126</v>
      </c>
      <c r="R11" s="23">
        <v>99</v>
      </c>
      <c r="S11" s="23">
        <v>236</v>
      </c>
      <c r="T11" s="23">
        <v>189</v>
      </c>
      <c r="U11" s="23">
        <v>567</v>
      </c>
      <c r="V11" s="23">
        <v>341</v>
      </c>
      <c r="W11" s="23">
        <v>0</v>
      </c>
      <c r="X11" s="23">
        <v>114</v>
      </c>
      <c r="Y11" s="23">
        <v>129</v>
      </c>
      <c r="Z11" s="23">
        <v>159</v>
      </c>
      <c r="AA11" s="23">
        <v>203</v>
      </c>
      <c r="AB11" s="23">
        <v>525</v>
      </c>
      <c r="AC11" s="23">
        <v>353</v>
      </c>
      <c r="AD11" s="23">
        <v>163</v>
      </c>
      <c r="AE11" s="23">
        <v>105</v>
      </c>
      <c r="AF11" s="23">
        <v>130</v>
      </c>
      <c r="AG11" s="23">
        <v>120</v>
      </c>
      <c r="AH11" s="23">
        <v>177</v>
      </c>
      <c r="AI11" s="23">
        <v>326</v>
      </c>
      <c r="AJ11" s="23">
        <v>320</v>
      </c>
      <c r="AK11" s="23">
        <v>94</v>
      </c>
      <c r="AL11" s="23">
        <v>122</v>
      </c>
      <c r="AM11" s="23">
        <v>127</v>
      </c>
      <c r="AN11" s="23">
        <v>95</v>
      </c>
      <c r="AO11" s="23">
        <v>151</v>
      </c>
      <c r="AP11" s="23">
        <v>487</v>
      </c>
      <c r="AQ11" s="23">
        <v>427</v>
      </c>
      <c r="AR11" s="23">
        <v>0</v>
      </c>
      <c r="AS11" s="23">
        <v>135</v>
      </c>
      <c r="AT11" s="23">
        <v>161</v>
      </c>
      <c r="AU11" s="23">
        <v>126</v>
      </c>
      <c r="AV11" s="23">
        <v>153</v>
      </c>
      <c r="AW11" s="23">
        <v>521</v>
      </c>
      <c r="AX11" s="23">
        <v>523</v>
      </c>
      <c r="AY11" s="23">
        <v>157</v>
      </c>
      <c r="AZ11" s="23">
        <v>102</v>
      </c>
      <c r="BA11" s="23">
        <v>143</v>
      </c>
      <c r="BB11" s="23">
        <v>125</v>
      </c>
      <c r="BC11" s="23">
        <v>269</v>
      </c>
      <c r="BD11" s="23">
        <v>502</v>
      </c>
      <c r="BE11" s="23">
        <v>564</v>
      </c>
      <c r="BF11" s="23">
        <v>135</v>
      </c>
      <c r="BG11" s="23">
        <v>117</v>
      </c>
      <c r="BH11" s="23">
        <v>157</v>
      </c>
      <c r="BI11" s="23">
        <v>169</v>
      </c>
      <c r="BJ11" s="23">
        <v>263</v>
      </c>
      <c r="BK11" s="23">
        <v>544</v>
      </c>
      <c r="BL11" s="23">
        <v>532</v>
      </c>
      <c r="BM11" s="23">
        <v>136</v>
      </c>
      <c r="BN11" s="23">
        <v>138</v>
      </c>
      <c r="BO11" s="23">
        <v>146</v>
      </c>
      <c r="BP11" s="23">
        <v>118</v>
      </c>
      <c r="BQ11" s="23">
        <v>159</v>
      </c>
      <c r="BR11" s="23">
        <v>502</v>
      </c>
      <c r="BS11" s="23">
        <v>464</v>
      </c>
      <c r="BT11" s="23">
        <v>94</v>
      </c>
      <c r="BU11" s="23">
        <v>139</v>
      </c>
      <c r="BV11" s="23">
        <v>135</v>
      </c>
      <c r="BW11" s="23">
        <v>250</v>
      </c>
      <c r="BX11" s="23">
        <v>193</v>
      </c>
      <c r="BY11" s="23">
        <v>602</v>
      </c>
      <c r="BZ11" s="23">
        <v>482</v>
      </c>
      <c r="CA11" s="23">
        <v>161</v>
      </c>
      <c r="CB11" s="23">
        <v>188</v>
      </c>
      <c r="CC11" s="23">
        <v>236</v>
      </c>
      <c r="CD11" s="23">
        <v>154</v>
      </c>
      <c r="CE11" s="23">
        <v>451</v>
      </c>
      <c r="CF11" s="23">
        <v>619</v>
      </c>
      <c r="CG11" s="23">
        <v>542</v>
      </c>
      <c r="CH11" s="23">
        <v>263</v>
      </c>
      <c r="CI11" s="23">
        <v>234</v>
      </c>
      <c r="CJ11" s="23">
        <v>332</v>
      </c>
      <c r="CK11" s="23">
        <v>265</v>
      </c>
      <c r="CL11" s="23">
        <v>370</v>
      </c>
      <c r="CM11" s="23">
        <v>690</v>
      </c>
      <c r="CN11" s="23">
        <v>713</v>
      </c>
      <c r="CO11" s="23">
        <v>799</v>
      </c>
      <c r="CP11" s="23">
        <v>399</v>
      </c>
      <c r="CQ11" s="23">
        <v>421</v>
      </c>
      <c r="CR11" s="23">
        <v>564</v>
      </c>
      <c r="CS11" s="23">
        <v>689</v>
      </c>
      <c r="CT11" s="23">
        <v>772</v>
      </c>
      <c r="CU11" s="23">
        <v>1190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23">
        <v>0</v>
      </c>
      <c r="DK11" s="23">
        <v>0</v>
      </c>
      <c r="DL11" s="23">
        <v>0</v>
      </c>
      <c r="DM11" s="23">
        <v>0</v>
      </c>
      <c r="DN11" s="23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25">
      <c r="B12" s="24" t="s">
        <v>15</v>
      </c>
      <c r="C12" s="23">
        <f>+INDEX(b_stick!$L$9:$L$144,C$3)</f>
        <v>626</v>
      </c>
      <c r="D12" s="23">
        <f>+INDEX(b_stick!$L$9:$L$144,D$3)</f>
        <v>389</v>
      </c>
      <c r="E12" s="23">
        <f>+INDEX(b_stick!$L$9:$L$144,E$3)</f>
        <v>135</v>
      </c>
      <c r="F12" s="23">
        <f>+INDEX(b_stick!$L$9:$L$144,F$3)</f>
        <v>161</v>
      </c>
      <c r="G12" s="23">
        <f>+INDEX(b_stick!$L$9:$L$144,G$3)</f>
        <v>175</v>
      </c>
      <c r="H12" s="23">
        <f>+INDEX(b_stick!$L$9:$L$144,H$3)</f>
        <v>140</v>
      </c>
      <c r="I12" s="23">
        <f>+INDEX(b_stick!$L$9:$L$144,I$3)</f>
        <v>637</v>
      </c>
      <c r="J12" s="23">
        <f>+INDEX(b_stick!$L$9:$L$144,J$3)</f>
        <v>452</v>
      </c>
      <c r="K12" s="23">
        <f>+INDEX(b_stick!$L$9:$L$144,K$3)</f>
        <v>241</v>
      </c>
      <c r="L12" s="23">
        <f>+INDEX(b_stick!$L$9:$L$144,L$3)</f>
        <v>0</v>
      </c>
      <c r="M12" s="23">
        <f>+INDEX(b_stick!$L$9:$L$144,M$3)</f>
        <v>98</v>
      </c>
      <c r="N12" s="23">
        <f>+INDEX(b_stick!$L$9:$L$144,N$3)</f>
        <v>106</v>
      </c>
      <c r="O12" s="23">
        <f>+INDEX(b_stick!$L$9:$L$144,O$3)</f>
        <v>109</v>
      </c>
      <c r="P12" s="23">
        <f>+INDEX(b_stick!$L$9:$L$144,P$3)</f>
        <v>102</v>
      </c>
      <c r="Q12" s="23">
        <f>+INDEX(b_stick!$L$9:$L$144,Q$3)</f>
        <v>413</v>
      </c>
      <c r="R12" s="23">
        <f>+INDEX(b_stick!$L$9:$L$144,R$3)</f>
        <v>282</v>
      </c>
      <c r="S12" s="23">
        <f>+INDEX(b_stick!$L$9:$L$144,S$3)</f>
        <v>114</v>
      </c>
      <c r="T12" s="23">
        <f>+INDEX(b_stick!$L$9:$L$144,T$3)</f>
        <v>109</v>
      </c>
      <c r="U12" s="23">
        <f>+INDEX(b_stick!$L$9:$L$144,U$3)</f>
        <v>125</v>
      </c>
      <c r="V12" s="23">
        <f>+INDEX(b_stick!$L$9:$L$144,V$3)</f>
        <v>86</v>
      </c>
      <c r="W12" s="23">
        <f>+INDEX(b_stick!$L$9:$L$144,W$3)</f>
        <v>154</v>
      </c>
      <c r="X12" s="23">
        <f>+INDEX(b_stick!$L$9:$L$144,X$3)</f>
        <v>358</v>
      </c>
      <c r="Y12" s="23">
        <f>+INDEX(b_stick!$L$9:$L$144,Y$3)</f>
        <v>298</v>
      </c>
      <c r="Z12" s="23">
        <f>+INDEX(b_stick!$L$9:$L$144,Z$3)</f>
        <v>101</v>
      </c>
      <c r="AA12" s="23">
        <f>+INDEX(b_stick!$L$9:$L$144,AA$3)</f>
        <v>116</v>
      </c>
      <c r="AB12" s="23">
        <f>+INDEX(b_stick!$L$9:$L$144,AB$3)</f>
        <v>176</v>
      </c>
      <c r="AC12" s="23">
        <f>+INDEX(b_stick!$L$9:$L$144,AC$3)</f>
        <v>126</v>
      </c>
      <c r="AD12" s="23">
        <f>+INDEX(b_stick!$L$9:$L$144,AD$3)</f>
        <v>130</v>
      </c>
      <c r="AE12" s="23">
        <f>+INDEX(b_stick!$L$9:$L$144,AE$3)</f>
        <v>347</v>
      </c>
      <c r="AF12" s="23">
        <f>+INDEX(b_stick!$L$9:$L$144,AF$3)</f>
        <v>258</v>
      </c>
      <c r="AG12" s="23">
        <f>+INDEX(b_stick!$L$9:$L$144,AG$3)</f>
        <v>105</v>
      </c>
      <c r="AH12" s="23">
        <f>+INDEX(b_stick!$L$9:$L$144,AH$3)</f>
        <v>90</v>
      </c>
      <c r="AI12" s="23">
        <f>+INDEX(b_stick!$L$9:$L$144,AI$3)</f>
        <v>150</v>
      </c>
      <c r="AJ12" s="23">
        <f>+INDEX(b_stick!$L$9:$L$144,AJ$3)</f>
        <v>160</v>
      </c>
      <c r="AK12" s="23">
        <f>+INDEX(b_stick!$L$9:$L$144,AK$3)</f>
        <v>117</v>
      </c>
      <c r="AL12" s="23">
        <f>+INDEX(b_stick!$L$9:$L$144,AL$3)</f>
        <v>389</v>
      </c>
      <c r="AM12" s="23">
        <f>+INDEX(b_stick!$L$9:$L$144,AM$3)</f>
        <v>251</v>
      </c>
      <c r="AN12" s="23">
        <f>+INDEX(b_stick!$L$9:$L$144,AN$3)</f>
        <v>88</v>
      </c>
      <c r="AO12" s="23">
        <f>+INDEX(b_stick!$L$9:$L$144,AO$3)</f>
        <v>103</v>
      </c>
      <c r="AP12" s="23">
        <f>+INDEX(b_stick!$L$9:$L$144,AP$3)</f>
        <v>147</v>
      </c>
      <c r="AQ12" s="23">
        <f>+INDEX(b_stick!$L$9:$L$144,AQ$3)</f>
        <v>116</v>
      </c>
      <c r="AR12" s="23">
        <f>+INDEX(b_stick!$L$9:$L$144,AR$3)</f>
        <v>308</v>
      </c>
      <c r="AS12" s="23">
        <f>+INDEX(b_stick!$L$9:$L$144,AS$3)</f>
        <v>343</v>
      </c>
      <c r="AT12" s="23">
        <f>+INDEX(b_stick!$L$9:$L$144,AT$3)</f>
        <v>302</v>
      </c>
      <c r="AU12" s="23">
        <f>+INDEX(b_stick!$L$9:$L$144,AU$3)</f>
        <v>143</v>
      </c>
      <c r="AV12" s="23">
        <f>+INDEX(b_stick!$L$9:$L$144,AV$3)</f>
        <v>0</v>
      </c>
      <c r="AW12" s="23">
        <f>+INDEX(b_stick!$L$9:$L$144,AW$3)</f>
        <v>0</v>
      </c>
      <c r="AX12" s="23">
        <f>+INDEX(b_stick!$L$9:$L$144,AX$3)</f>
        <v>0</v>
      </c>
      <c r="AY12" s="23">
        <f>+INDEX(b_stick!$L$9:$L$144,AY$3)</f>
        <v>0</v>
      </c>
      <c r="AZ12" s="23">
        <f>+INDEX(b_stick!$L$9:$L$144,AZ$3)</f>
        <v>0</v>
      </c>
      <c r="BA12" s="23">
        <f>+INDEX(b_stick!$L$9:$L$144,BA$3)</f>
        <v>0</v>
      </c>
      <c r="BB12" s="23">
        <f>+INDEX(b_stick!$L$9:$L$144,BB$3)</f>
        <v>0</v>
      </c>
      <c r="BC12" s="23">
        <f>+INDEX(b_stick!$L$9:$L$144,BC$3)</f>
        <v>0</v>
      </c>
      <c r="BD12" s="23">
        <f>+INDEX(b_stick!$L$9:$L$144,BD$3)</f>
        <v>0</v>
      </c>
      <c r="BE12" s="23">
        <f>+INDEX(b_stick!$L$9:$L$144,BE$3)</f>
        <v>0</v>
      </c>
      <c r="BF12" s="23">
        <f>+INDEX(b_stick!$L$9:$L$144,BF$3)</f>
        <v>0</v>
      </c>
      <c r="BG12" s="23">
        <f>+INDEX(b_stick!$L$9:$L$144,BG$3)</f>
        <v>0</v>
      </c>
      <c r="BH12" s="23">
        <f>+INDEX(b_stick!$L$9:$L$144,BH$3)</f>
        <v>0</v>
      </c>
      <c r="BI12" s="23">
        <f>+INDEX(b_stick!$L$9:$L$144,BI$3)</f>
        <v>0</v>
      </c>
      <c r="BJ12" s="23">
        <f>+INDEX(b_stick!$L$9:$L$144,BJ$3)</f>
        <v>0</v>
      </c>
      <c r="BK12" s="23">
        <f>+INDEX(b_stick!$L$9:$L$144,BK$3)</f>
        <v>0</v>
      </c>
      <c r="BL12" s="23">
        <f>+INDEX(b_stick!$L$9:$L$144,BL$3)</f>
        <v>0</v>
      </c>
      <c r="BM12" s="23">
        <f>+INDEX(b_stick!$L$9:$L$144,BM$3)</f>
        <v>0</v>
      </c>
      <c r="BN12" s="23">
        <f>+INDEX(b_stick!$L$9:$L$144,BN$3)</f>
        <v>0</v>
      </c>
      <c r="BO12" s="23">
        <f>+INDEX(b_stick!$L$9:$L$144,BO$3)</f>
        <v>0</v>
      </c>
      <c r="BP12" s="23">
        <f>+INDEX(b_stick!$L$9:$L$144,BP$3)</f>
        <v>0</v>
      </c>
      <c r="BQ12" s="23">
        <f>+INDEX(b_stick!$L$9:$L$144,BQ$3)</f>
        <v>0</v>
      </c>
      <c r="BR12" s="23">
        <f>+INDEX(b_stick!$L$9:$L$144,BR$3)</f>
        <v>0</v>
      </c>
      <c r="BS12" s="23">
        <f>+INDEX(b_stick!$L$9:$L$144,BS$3)</f>
        <v>0</v>
      </c>
      <c r="BT12" s="23">
        <f>+INDEX(b_stick!$L$9:$L$144,BT$3)</f>
        <v>0</v>
      </c>
      <c r="BU12" s="23">
        <f>+INDEX(b_stick!$L$9:$L$144,BU$3)</f>
        <v>0</v>
      </c>
      <c r="BV12" s="23">
        <f>+INDEX(b_stick!$L$9:$L$144,BV$3)</f>
        <v>0</v>
      </c>
      <c r="BW12" s="23">
        <f>+INDEX(b_stick!$L$9:$L$144,BW$3)</f>
        <v>0</v>
      </c>
      <c r="BX12" s="23">
        <f>+INDEX(b_stick!$L$9:$L$144,BX$3)</f>
        <v>0</v>
      </c>
      <c r="BY12" s="23">
        <f>+INDEX(b_stick!$L$9:$L$144,BY$3)</f>
        <v>0</v>
      </c>
      <c r="BZ12" s="23">
        <f>+INDEX(b_stick!$L$9:$L$144,BZ$3)</f>
        <v>0</v>
      </c>
      <c r="CA12" s="23">
        <f>+INDEX(b_stick!$L$9:$L$144,CA$3)</f>
        <v>0</v>
      </c>
      <c r="CB12" s="23">
        <f>+INDEX(b_stick!$L$9:$L$144,CB$3)</f>
        <v>0</v>
      </c>
      <c r="CC12" s="23">
        <f>+INDEX(b_stick!$L$9:$L$144,CC$3)</f>
        <v>0</v>
      </c>
      <c r="CD12" s="23">
        <f>+INDEX(b_stick!$L$9:$L$144,CD$3)</f>
        <v>0</v>
      </c>
      <c r="CE12" s="23">
        <f>+INDEX(b_stick!$L$9:$L$144,CE$3)</f>
        <v>0</v>
      </c>
      <c r="CF12" s="23">
        <f>+INDEX(b_stick!$L$9:$L$144,CF$3)</f>
        <v>0</v>
      </c>
      <c r="CG12" s="23">
        <f>+INDEX(b_stick!$L$9:$L$144,CG$3)</f>
        <v>0</v>
      </c>
      <c r="CH12" s="23">
        <f>+INDEX(b_stick!$L$9:$L$144,CH$3)</f>
        <v>0</v>
      </c>
      <c r="CI12" s="23">
        <f>+INDEX(b_stick!$L$9:$L$144,CI$3)</f>
        <v>0</v>
      </c>
      <c r="CJ12" s="23">
        <f>+INDEX(b_stick!$L$9:$L$144,CJ$3)</f>
        <v>0</v>
      </c>
      <c r="CK12" s="23">
        <f>+INDEX(b_stick!$L$9:$L$144,CK$3)</f>
        <v>0</v>
      </c>
      <c r="CL12" s="23">
        <f>+INDEX(b_stick!$L$9:$L$144,CL$3)</f>
        <v>0</v>
      </c>
      <c r="CM12" s="23">
        <f>+INDEX(b_stick!$L$9:$L$144,CM$3)</f>
        <v>0</v>
      </c>
      <c r="CN12" s="23">
        <f>+INDEX(b_stick!$L$9:$L$144,CN$3)</f>
        <v>0</v>
      </c>
      <c r="CO12" s="23">
        <f>+INDEX(b_stick!$L$9:$L$144,CO$3)</f>
        <v>0</v>
      </c>
      <c r="CP12" s="23">
        <f>+INDEX(b_stick!$L$9:$L$144,CP$3)</f>
        <v>0</v>
      </c>
      <c r="CQ12" s="23">
        <f>+INDEX(b_stick!$L$9:$L$144,CQ$3)</f>
        <v>0</v>
      </c>
      <c r="CR12" s="23">
        <f>+INDEX(b_stick!$L$9:$L$144,CR$3)</f>
        <v>0</v>
      </c>
      <c r="CS12" s="23">
        <f>+INDEX(b_stick!$L$9:$L$144,CS$3)</f>
        <v>0</v>
      </c>
      <c r="CT12" s="23">
        <f>+INDEX(b_stick!$L$9:$L$144,CT$3)</f>
        <v>0</v>
      </c>
      <c r="CU12" s="23">
        <f>+INDEX(b_stick!$L$9:$L$144,CU$3)</f>
        <v>0</v>
      </c>
      <c r="CV12" s="23">
        <f>+INDEX(b_stick!$L$9:$L$144,CV$3)</f>
        <v>0</v>
      </c>
      <c r="CW12" s="23">
        <f>+INDEX(b_stick!$L$9:$L$144,CW$3)</f>
        <v>0</v>
      </c>
      <c r="CX12" s="23">
        <f>+INDEX(b_stick!$L$9:$L$144,CX$3)</f>
        <v>0</v>
      </c>
      <c r="CY12" s="23">
        <f>+INDEX(b_stick!$L$9:$L$144,CY$3)</f>
        <v>0</v>
      </c>
      <c r="CZ12" s="23">
        <f>+INDEX(b_stick!$L$9:$L$144,CZ$3)</f>
        <v>0</v>
      </c>
      <c r="DA12" s="23">
        <f>+INDEX(b_stick!$L$9:$L$144,DA$3)</f>
        <v>0</v>
      </c>
      <c r="DB12" s="23">
        <f>+INDEX(b_stick!$L$9:$L$144,DB$3)</f>
        <v>0</v>
      </c>
      <c r="DC12" s="23">
        <f>+INDEX(b_stick!$L$9:$L$144,DC$3)</f>
        <v>0</v>
      </c>
      <c r="DD12" s="23">
        <f>+INDEX(b_stick!$L$9:$L$144,DD$3)</f>
        <v>0</v>
      </c>
      <c r="DE12" s="23">
        <f>+INDEX(b_stick!$L$9:$L$144,DE$3)</f>
        <v>0</v>
      </c>
      <c r="DF12" s="23">
        <f>+INDEX(b_stick!$L$9:$L$144,DF$3)</f>
        <v>0</v>
      </c>
      <c r="DG12" s="23">
        <f>+INDEX(b_stick!$L$9:$L$144,DG$3)</f>
        <v>0</v>
      </c>
      <c r="DH12" s="23">
        <f>+INDEX(b_stick!$L$9:$L$144,DH$3)</f>
        <v>0</v>
      </c>
      <c r="DI12" s="23">
        <f>+INDEX(b_stick!$L$9:$L$144,DI$3)</f>
        <v>0</v>
      </c>
      <c r="DJ12" s="23">
        <f>+INDEX(b_stick!$L$9:$L$144,DJ$3)</f>
        <v>0</v>
      </c>
      <c r="DK12" s="23">
        <f>+INDEX(b_stick!$L$9:$L$144,DK$3)</f>
        <v>0</v>
      </c>
      <c r="DL12" s="23">
        <f>+INDEX(b_stick!$L$9:$L$144,DL$3)</f>
        <v>0</v>
      </c>
      <c r="DM12" s="23">
        <f>+INDEX(b_stick!$L$9:$L$144,DM$3)</f>
        <v>0</v>
      </c>
      <c r="DN12" s="23">
        <f>+INDEX(b_stick!$L$9:$L$144,DN$3)</f>
        <v>0</v>
      </c>
      <c r="DO12" s="23">
        <f>+INDEX(b_stick!$L$9:$L$144,DO$3)</f>
        <v>0</v>
      </c>
      <c r="DP12" s="23">
        <f>+INDEX(b_stick!$L$9:$L$144,DP$3)</f>
        <v>0</v>
      </c>
      <c r="DQ12" s="23">
        <f>+INDEX(b_stick!$L$9:$L$144,DQ$3)</f>
        <v>0</v>
      </c>
      <c r="DR12" s="23">
        <f>+INDEX(b_stick!$L$9:$L$144,DR$3)</f>
        <v>0</v>
      </c>
      <c r="DS12" s="23">
        <f>+INDEX(b_stick!$L$9:$L$144,DS$3)</f>
        <v>0</v>
      </c>
      <c r="DT12" s="23">
        <f>+INDEX(b_stick!$L$9:$L$144,DT$3)</f>
        <v>0</v>
      </c>
      <c r="DU12" s="23">
        <f>+INDEX(b_stick!$L$9:$L$144,DU$3)</f>
        <v>0</v>
      </c>
      <c r="DV12" s="23">
        <f>+INDEX(b_stick!$L$9:$L$144,DV$3)</f>
        <v>0</v>
      </c>
      <c r="DW12" s="23">
        <f>+INDEX(b_stick!$L$9:$L$144,DW$3)</f>
        <v>0</v>
      </c>
      <c r="DX12" s="23">
        <f>+INDEX(b_stick!$L$9:$L$144,DX$3)</f>
        <v>0</v>
      </c>
      <c r="DY12" s="23">
        <f>+INDEX(b_stick!$L$9:$L$144,DY$3)</f>
        <v>0</v>
      </c>
      <c r="DZ12" s="23">
        <f>+INDEX(b_stick!$L$9:$L$144,DZ$3)</f>
        <v>0</v>
      </c>
      <c r="EA12" s="23">
        <f>+INDEX(b_stick!$L$9:$L$144,EA$3)</f>
        <v>0</v>
      </c>
      <c r="EB12" s="23">
        <f>+INDEX(b_stick!$L$9:$L$144,EB$3)</f>
        <v>0</v>
      </c>
      <c r="EC12" s="23">
        <f>+INDEX(b_stick!$L$9:$L$144,EC$3)</f>
        <v>0</v>
      </c>
      <c r="ED12" s="23">
        <f>+INDEX(b_stick!$L$9:$L$144,ED$3)</f>
        <v>0</v>
      </c>
      <c r="EE12" s="23">
        <f>+INDEX(b_stick!$L$9:$L$144,EE$3)</f>
        <v>0</v>
      </c>
      <c r="EF12" s="23">
        <f>+INDEX(b_stick!$L$9:$L$144,EF$3)</f>
        <v>0</v>
      </c>
      <c r="EG12" s="23">
        <f>+INDEX(b_stick!$L$9:$L$144,EG$3)</f>
        <v>0</v>
      </c>
      <c r="EH12" s="23">
        <f>+INDEX(b_stick!$L$9:$L$144,EH$3)</f>
        <v>0</v>
      </c>
    </row>
    <row r="18" spans="2:6" x14ac:dyDescent="0.25">
      <c r="F18" s="29" t="s">
        <v>20</v>
      </c>
    </row>
    <row r="19" spans="2:6" x14ac:dyDescent="0.25">
      <c r="B19" s="24"/>
    </row>
    <row r="20" spans="2:6" x14ac:dyDescent="0.25">
      <c r="B20" s="24"/>
    </row>
    <row r="21" spans="2:6" x14ac:dyDescent="0.25">
      <c r="B21" s="24"/>
      <c r="F21">
        <f ca="1">+SUM(범위_바스키아)</f>
        <v>40701</v>
      </c>
    </row>
    <row r="22" spans="2:6" x14ac:dyDescent="0.25">
      <c r="B22" s="24"/>
      <c r="F22">
        <f ca="1">+SUM(일차)</f>
        <v>1035</v>
      </c>
    </row>
    <row r="23" spans="2:6" x14ac:dyDescent="0.25">
      <c r="B23" s="24"/>
    </row>
    <row r="24" spans="2:6" x14ac:dyDescent="0.25">
      <c r="B24" s="24"/>
    </row>
    <row r="25" spans="2:6" x14ac:dyDescent="0.25">
      <c r="B25" s="24"/>
    </row>
    <row r="26" spans="2:6" x14ac:dyDescent="0.25">
      <c r="B26" s="24"/>
    </row>
    <row r="27" spans="2:6" x14ac:dyDescent="0.25">
      <c r="B27" s="2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3:X145"/>
  <sheetViews>
    <sheetView showGridLines="0" workbookViewId="0"/>
  </sheetViews>
  <sheetFormatPr defaultRowHeight="21.75" customHeight="1" x14ac:dyDescent="0.25"/>
  <cols>
    <col min="1" max="15" width="9.140625" customWidth="1"/>
    <col min="16" max="16" width="10.85546875" customWidth="1"/>
    <col min="17" max="20" width="9.140625" customWidth="1"/>
    <col min="24" max="24" width="28.5703125" customWidth="1"/>
  </cols>
  <sheetData>
    <row r="3" spans="3:24" ht="36.75" customHeight="1" x14ac:dyDescent="0.25">
      <c r="X3" s="27">
        <f>+O5</f>
        <v>45</v>
      </c>
    </row>
    <row r="5" spans="3:24" ht="21.75" customHeight="1" x14ac:dyDescent="0.25">
      <c r="O5" s="22">
        <f>+b_line!B2</f>
        <v>45</v>
      </c>
    </row>
    <row r="6" spans="3:24" ht="21.75" customHeight="1" x14ac:dyDescent="0.25">
      <c r="N6" t="s">
        <v>3</v>
      </c>
      <c r="O6" s="23">
        <f ca="1">+SUM(D8,OFFSET(D$8,0,0,$O$5+1))</f>
        <v>40701</v>
      </c>
      <c r="P6" s="26">
        <f t="shared" ref="P6:P14" ca="1" si="0">+O6/$O$5</f>
        <v>904.4666666666667</v>
      </c>
      <c r="Q6" s="172">
        <f t="shared" ref="Q6:Q14" ca="1" si="1">+RANK(O6,$O$6:$O$14)</f>
        <v>1</v>
      </c>
    </row>
    <row r="7" spans="3:24" ht="21.75" customHeight="1" x14ac:dyDescent="0.25">
      <c r="N7" t="s">
        <v>5</v>
      </c>
      <c r="O7" s="23">
        <f ca="1">+SUM(E8,OFFSET(E$8,0,0,$O$5+1))</f>
        <v>6321</v>
      </c>
      <c r="P7" s="26">
        <f t="shared" ca="1" si="0"/>
        <v>140.46666666666667</v>
      </c>
      <c r="Q7" s="172">
        <f t="shared" ca="1" si="1"/>
        <v>8</v>
      </c>
    </row>
    <row r="8" spans="3:24" ht="21.75" customHeight="1" x14ac:dyDescent="0.25">
      <c r="C8" s="24" t="s">
        <v>17</v>
      </c>
      <c r="D8" s="24" t="s">
        <v>3</v>
      </c>
      <c r="E8" s="24" t="s">
        <v>5</v>
      </c>
      <c r="F8" s="24" t="s">
        <v>4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24" t="s">
        <v>15</v>
      </c>
      <c r="N8" t="s">
        <v>4</v>
      </c>
      <c r="O8" s="23">
        <f ca="1">+SUM(F8,OFFSET(F$8,0,0,$O$5+1))</f>
        <v>7124</v>
      </c>
      <c r="P8" s="26">
        <f t="shared" ca="1" si="0"/>
        <v>158.3111111111111</v>
      </c>
      <c r="Q8" s="172">
        <f t="shared" ca="1" si="1"/>
        <v>7</v>
      </c>
    </row>
    <row r="9" spans="3:24" ht="21.75" customHeight="1" x14ac:dyDescent="0.25">
      <c r="C9" s="24">
        <v>1</v>
      </c>
      <c r="D9" s="25">
        <f>+요약!D11</f>
        <v>899</v>
      </c>
      <c r="E9" s="25">
        <f>+요약!E11</f>
        <v>158</v>
      </c>
      <c r="F9" s="25">
        <f>+요약!F11</f>
        <v>89</v>
      </c>
      <c r="G9" s="25">
        <f>+요약!G11</f>
        <v>285</v>
      </c>
      <c r="H9" s="25">
        <f>+요약!H11</f>
        <v>342</v>
      </c>
      <c r="I9" s="25">
        <f>+요약!I11</f>
        <v>1532</v>
      </c>
      <c r="J9" s="25">
        <f>+요약!J11</f>
        <v>106</v>
      </c>
      <c r="K9" s="25">
        <f>+요약!K11</f>
        <v>227</v>
      </c>
      <c r="L9" s="25">
        <f>+요약!L11</f>
        <v>626</v>
      </c>
      <c r="N9" t="s">
        <v>10</v>
      </c>
      <c r="O9" s="23">
        <f ca="1">+SUM(G8,OFFSET(G$8,0,0,$O$5+1))</f>
        <v>13376</v>
      </c>
      <c r="P9" s="26">
        <f t="shared" ca="1" si="0"/>
        <v>297.24444444444447</v>
      </c>
      <c r="Q9" s="172">
        <f t="shared" ca="1" si="1"/>
        <v>3</v>
      </c>
    </row>
    <row r="10" spans="3:24" ht="21.75" customHeight="1" x14ac:dyDescent="0.25">
      <c r="C10" s="24">
        <v>2</v>
      </c>
      <c r="D10" s="25">
        <f>+요약!D12</f>
        <v>1682</v>
      </c>
      <c r="E10" s="25">
        <f>+요약!E12</f>
        <v>265</v>
      </c>
      <c r="F10" s="25">
        <f>+요약!F12</f>
        <v>98</v>
      </c>
      <c r="G10" s="25">
        <f>+요약!G12</f>
        <v>356</v>
      </c>
      <c r="H10" s="25">
        <f>+요약!H12</f>
        <v>453</v>
      </c>
      <c r="I10" s="25">
        <f>+요약!I12</f>
        <v>1116</v>
      </c>
      <c r="J10" s="25">
        <f>+요약!J12</f>
        <v>107</v>
      </c>
      <c r="K10" s="25">
        <f>+요약!K12</f>
        <v>274</v>
      </c>
      <c r="L10" s="25">
        <f>+요약!L12</f>
        <v>389</v>
      </c>
      <c r="N10" t="s">
        <v>11</v>
      </c>
      <c r="O10" s="23">
        <f ca="1">+SUM(H8,OFFSET(H$8,0,0,$O$5+1))</f>
        <v>11852</v>
      </c>
      <c r="P10" s="26">
        <f t="shared" ca="1" si="0"/>
        <v>263.37777777777779</v>
      </c>
      <c r="Q10" s="172">
        <f t="shared" ca="1" si="1"/>
        <v>4</v>
      </c>
    </row>
    <row r="11" spans="3:24" ht="21.75" customHeight="1" x14ac:dyDescent="0.25">
      <c r="C11" s="24">
        <v>3</v>
      </c>
      <c r="D11" s="25">
        <f>+요약!D13</f>
        <v>1564</v>
      </c>
      <c r="E11" s="25">
        <f>+요약!E13</f>
        <v>151</v>
      </c>
      <c r="F11" s="25">
        <f>+요약!F13</f>
        <v>188</v>
      </c>
      <c r="G11" s="25">
        <f>+요약!G13</f>
        <v>130</v>
      </c>
      <c r="H11" s="25">
        <f>+요약!H13</f>
        <v>338</v>
      </c>
      <c r="I11" s="25">
        <f>+요약!I13</f>
        <v>632</v>
      </c>
      <c r="J11" s="25">
        <f>+요약!J13</f>
        <v>287</v>
      </c>
      <c r="K11" s="25">
        <f>+요약!K13</f>
        <v>124</v>
      </c>
      <c r="L11" s="25">
        <f>+요약!L13</f>
        <v>135</v>
      </c>
      <c r="N11" t="s">
        <v>12</v>
      </c>
      <c r="O11" s="23">
        <f ca="1">+SUM(I8,OFFSET(I$8,0,0,$O$5+1))</f>
        <v>25627</v>
      </c>
      <c r="P11" s="26">
        <f t="shared" ca="1" si="0"/>
        <v>569.48888888888894</v>
      </c>
      <c r="Q11" s="172">
        <f t="shared" ca="1" si="1"/>
        <v>2</v>
      </c>
    </row>
    <row r="12" spans="3:24" ht="21.75" customHeight="1" x14ac:dyDescent="0.25">
      <c r="C12" s="24">
        <v>4</v>
      </c>
      <c r="D12" s="25">
        <f>+요약!D14</f>
        <v>1409</v>
      </c>
      <c r="E12" s="25">
        <f>+요약!E14</f>
        <v>0</v>
      </c>
      <c r="F12" s="25">
        <f>+요약!F14</f>
        <v>158</v>
      </c>
      <c r="G12" s="25">
        <f>+요약!G14</f>
        <v>107</v>
      </c>
      <c r="H12" s="25">
        <f>+요약!H14</f>
        <v>212</v>
      </c>
      <c r="I12" s="25">
        <f>+요약!I14</f>
        <v>575</v>
      </c>
      <c r="J12" s="25">
        <f>+요약!J14</f>
        <v>205</v>
      </c>
      <c r="K12" s="25">
        <f>+요약!K14</f>
        <v>105</v>
      </c>
      <c r="L12" s="25">
        <f>+요약!L14</f>
        <v>161</v>
      </c>
      <c r="N12" t="s">
        <v>13</v>
      </c>
      <c r="O12" s="23">
        <f ca="1">+SUM(J8,OFFSET(J$8,0,0,$O$5+1))</f>
        <v>5757</v>
      </c>
      <c r="P12" s="26">
        <f t="shared" ca="1" si="0"/>
        <v>127.93333333333334</v>
      </c>
      <c r="Q12" s="172">
        <f t="shared" ca="1" si="1"/>
        <v>9</v>
      </c>
    </row>
    <row r="13" spans="3:24" ht="21.75" customHeight="1" x14ac:dyDescent="0.25">
      <c r="C13" s="24">
        <v>5</v>
      </c>
      <c r="D13" s="25">
        <f>+요약!D15</f>
        <v>614</v>
      </c>
      <c r="E13" s="25">
        <f>+요약!E15</f>
        <v>70</v>
      </c>
      <c r="F13" s="25">
        <f>+요약!F15</f>
        <v>181</v>
      </c>
      <c r="G13" s="25">
        <f>+요약!G15</f>
        <v>143</v>
      </c>
      <c r="H13" s="25">
        <f>+요약!H15</f>
        <v>211</v>
      </c>
      <c r="I13" s="25">
        <f>+요약!I15</f>
        <v>573</v>
      </c>
      <c r="J13" s="25">
        <f>+요약!J15</f>
        <v>115</v>
      </c>
      <c r="K13" s="25">
        <f>+요약!K15</f>
        <v>413</v>
      </c>
      <c r="L13" s="25">
        <f>+요약!L15</f>
        <v>175</v>
      </c>
      <c r="N13" t="s">
        <v>14</v>
      </c>
      <c r="O13" s="23">
        <f ca="1">+SUM(K8,OFFSET(K$8,0,0,$O$5+1))</f>
        <v>10016</v>
      </c>
      <c r="P13" s="26">
        <f t="shared" ca="1" si="0"/>
        <v>222.57777777777778</v>
      </c>
      <c r="Q13" s="172">
        <f t="shared" ca="1" si="1"/>
        <v>5</v>
      </c>
    </row>
    <row r="14" spans="3:24" ht="21.75" customHeight="1" x14ac:dyDescent="0.25">
      <c r="C14" s="24">
        <v>6</v>
      </c>
      <c r="D14" s="25">
        <f>+요약!D16</f>
        <v>614</v>
      </c>
      <c r="E14" s="25">
        <f>+요약!E16</f>
        <v>69</v>
      </c>
      <c r="F14" s="25">
        <f>+요약!F16</f>
        <v>36</v>
      </c>
      <c r="G14" s="25">
        <f>+요약!G16</f>
        <v>509</v>
      </c>
      <c r="H14" s="25">
        <f>+요약!H16</f>
        <v>302</v>
      </c>
      <c r="I14" s="25">
        <f>+요약!I16</f>
        <v>610</v>
      </c>
      <c r="J14" s="25">
        <f>+요약!J16</f>
        <v>64</v>
      </c>
      <c r="K14" s="25">
        <f>+요약!K16</f>
        <v>305</v>
      </c>
      <c r="L14" s="25">
        <f>+요약!L16</f>
        <v>140</v>
      </c>
      <c r="N14" t="s">
        <v>15</v>
      </c>
      <c r="O14" s="23">
        <f ca="1">+SUM(L8,OFFSET(L$8,0,0,$O$5+1))</f>
        <v>9376</v>
      </c>
      <c r="P14" s="26">
        <f t="shared" ca="1" si="0"/>
        <v>208.35555555555555</v>
      </c>
      <c r="Q14" s="172">
        <f t="shared" ca="1" si="1"/>
        <v>6</v>
      </c>
    </row>
    <row r="15" spans="3:24" ht="21.75" customHeight="1" x14ac:dyDescent="0.25">
      <c r="C15" s="24">
        <v>7</v>
      </c>
      <c r="D15" s="25">
        <f>+요약!D17</f>
        <v>727</v>
      </c>
      <c r="E15" s="25">
        <f>+요약!E17</f>
        <v>132</v>
      </c>
      <c r="F15" s="25">
        <f>+요약!F17</f>
        <v>60</v>
      </c>
      <c r="G15" s="25">
        <f>+요약!G17</f>
        <v>390</v>
      </c>
      <c r="H15" s="25">
        <f>+요약!H17</f>
        <v>232</v>
      </c>
      <c r="I15" s="25">
        <f>+요약!I17</f>
        <v>747</v>
      </c>
      <c r="J15" s="25">
        <f>+요약!J17</f>
        <v>106</v>
      </c>
      <c r="K15" s="25">
        <f>+요약!K17</f>
        <v>349</v>
      </c>
      <c r="L15" s="25">
        <f>+요약!L17</f>
        <v>637</v>
      </c>
    </row>
    <row r="16" spans="3:24" ht="21.75" customHeight="1" x14ac:dyDescent="0.25">
      <c r="C16" s="24">
        <v>8</v>
      </c>
      <c r="D16" s="25">
        <f>+요약!D18</f>
        <v>630</v>
      </c>
      <c r="E16" s="25">
        <f>+요약!E18</f>
        <v>96</v>
      </c>
      <c r="F16" s="25">
        <f>+요약!F18</f>
        <v>73</v>
      </c>
      <c r="G16" s="25">
        <f>+요약!G18</f>
        <v>0</v>
      </c>
      <c r="H16" s="25">
        <f>+요약!H18</f>
        <v>240</v>
      </c>
      <c r="I16" s="25">
        <f>+요약!I18</f>
        <v>787</v>
      </c>
      <c r="J16" s="25">
        <f>+요약!J18</f>
        <v>54</v>
      </c>
      <c r="K16" s="25">
        <f>+요약!K18</f>
        <v>336</v>
      </c>
      <c r="L16" s="25">
        <f>+요약!L18</f>
        <v>452</v>
      </c>
    </row>
    <row r="17" spans="3:12" ht="21.75" customHeight="1" x14ac:dyDescent="0.25">
      <c r="C17" s="24">
        <v>9</v>
      </c>
      <c r="D17" s="25">
        <f>+요약!D19</f>
        <v>659</v>
      </c>
      <c r="E17" s="25">
        <f>+요약!E19</f>
        <v>254</v>
      </c>
      <c r="F17" s="25">
        <f>+요약!F19</f>
        <v>110</v>
      </c>
      <c r="G17" s="25">
        <f>+요약!G19</f>
        <v>129</v>
      </c>
      <c r="H17" s="25">
        <f>+요약!H19</f>
        <v>489</v>
      </c>
      <c r="I17" s="25">
        <f>+요약!I19</f>
        <v>0</v>
      </c>
      <c r="J17" s="25">
        <f>+요약!J19</f>
        <v>96</v>
      </c>
      <c r="K17" s="25">
        <f>+요약!K19</f>
        <v>120</v>
      </c>
      <c r="L17" s="25">
        <f>+요약!L19</f>
        <v>241</v>
      </c>
    </row>
    <row r="18" spans="3:12" ht="21.75" customHeight="1" x14ac:dyDescent="0.25">
      <c r="C18" s="24">
        <v>10</v>
      </c>
      <c r="D18" s="25">
        <f>+요약!D20</f>
        <v>1752</v>
      </c>
      <c r="E18" s="25">
        <f>+요약!E20</f>
        <v>164</v>
      </c>
      <c r="F18" s="25">
        <f>+요약!F20</f>
        <v>344</v>
      </c>
      <c r="G18" s="25">
        <f>+요약!G20</f>
        <v>469</v>
      </c>
      <c r="H18" s="25">
        <f>+요약!H20</f>
        <v>417</v>
      </c>
      <c r="I18" s="25">
        <f>+요약!I20</f>
        <v>349</v>
      </c>
      <c r="J18" s="25">
        <f>+요약!J20</f>
        <v>101</v>
      </c>
      <c r="K18" s="25">
        <f>+요약!K20</f>
        <v>96</v>
      </c>
      <c r="L18" s="25">
        <f>+요약!L20</f>
        <v>0</v>
      </c>
    </row>
    <row r="19" spans="3:12" ht="21.75" customHeight="1" x14ac:dyDescent="0.25">
      <c r="C19" s="24">
        <v>11</v>
      </c>
      <c r="D19" s="25">
        <f>+요약!D21</f>
        <v>1355</v>
      </c>
      <c r="E19" s="25">
        <f>+요약!E21</f>
        <v>106</v>
      </c>
      <c r="F19" s="25">
        <f>+요약!F21</f>
        <v>356</v>
      </c>
      <c r="G19" s="25">
        <f>+요약!G21</f>
        <v>135</v>
      </c>
      <c r="H19" s="25">
        <f>+요약!H21</f>
        <v>230</v>
      </c>
      <c r="I19" s="25">
        <f>+요약!I21</f>
        <v>367</v>
      </c>
      <c r="J19" s="25">
        <f>+요약!J21</f>
        <v>282</v>
      </c>
      <c r="K19" s="25">
        <f>+요약!K21</f>
        <v>202</v>
      </c>
      <c r="L19" s="25">
        <f>+요약!L21</f>
        <v>98</v>
      </c>
    </row>
    <row r="20" spans="3:12" ht="21.75" customHeight="1" x14ac:dyDescent="0.25">
      <c r="C20" s="24">
        <v>12</v>
      </c>
      <c r="D20" s="25">
        <f>+요약!D22</f>
        <v>540</v>
      </c>
      <c r="E20" s="25">
        <f>+요약!E22</f>
        <v>54</v>
      </c>
      <c r="F20" s="25">
        <f>+요약!F22</f>
        <v>225</v>
      </c>
      <c r="G20" s="25">
        <f>+요약!G22</f>
        <v>181</v>
      </c>
      <c r="H20" s="25">
        <f>+요약!H22</f>
        <v>146</v>
      </c>
      <c r="I20" s="25">
        <f>+요약!I22</f>
        <v>302</v>
      </c>
      <c r="J20" s="25">
        <f>+요약!J22</f>
        <v>173</v>
      </c>
      <c r="K20" s="25">
        <f>+요약!K22</f>
        <v>383</v>
      </c>
      <c r="L20" s="25">
        <f>+요약!L22</f>
        <v>106</v>
      </c>
    </row>
    <row r="21" spans="3:12" ht="21.75" customHeight="1" x14ac:dyDescent="0.25">
      <c r="C21" s="24">
        <v>13</v>
      </c>
      <c r="D21" s="25">
        <f>+요약!D23</f>
        <v>547</v>
      </c>
      <c r="E21" s="25">
        <f>+요약!E23</f>
        <v>90</v>
      </c>
      <c r="F21" s="25">
        <f>+요약!F23</f>
        <v>38</v>
      </c>
      <c r="G21" s="25">
        <f>+요약!G23</f>
        <v>569</v>
      </c>
      <c r="H21" s="25">
        <f>+요약!H23</f>
        <v>226</v>
      </c>
      <c r="I21" s="25">
        <f>+요약!I23</f>
        <v>339</v>
      </c>
      <c r="J21" s="25">
        <f>+요약!J23</f>
        <v>85</v>
      </c>
      <c r="K21" s="25">
        <f>+요약!K23</f>
        <v>404</v>
      </c>
      <c r="L21" s="25">
        <f>+요약!L23</f>
        <v>109</v>
      </c>
    </row>
    <row r="22" spans="3:12" ht="21.75" customHeight="1" x14ac:dyDescent="0.25">
      <c r="C22" s="24">
        <v>14</v>
      </c>
      <c r="D22" s="25">
        <f>+요약!D24</f>
        <v>572</v>
      </c>
      <c r="E22" s="25">
        <f>+요약!E24</f>
        <v>104</v>
      </c>
      <c r="F22" s="25">
        <f>+요약!F24</f>
        <v>72</v>
      </c>
      <c r="G22" s="25">
        <f>+요약!G24</f>
        <v>470</v>
      </c>
      <c r="H22" s="25">
        <f>+요약!H24</f>
        <v>181</v>
      </c>
      <c r="I22" s="25">
        <f>+요약!I24</f>
        <v>415</v>
      </c>
      <c r="J22" s="25">
        <f>+요약!J24</f>
        <v>84</v>
      </c>
      <c r="K22" s="25">
        <f>+요약!K24</f>
        <v>371</v>
      </c>
      <c r="L22" s="25">
        <f>+요약!L24</f>
        <v>102</v>
      </c>
    </row>
    <row r="23" spans="3:12" ht="21.75" customHeight="1" x14ac:dyDescent="0.25">
      <c r="C23" s="24">
        <v>15</v>
      </c>
      <c r="D23" s="25">
        <f>+요약!D25</f>
        <v>450</v>
      </c>
      <c r="E23" s="25">
        <f>+요약!E25</f>
        <v>99</v>
      </c>
      <c r="F23" s="25">
        <f>+요약!F25</f>
        <v>44</v>
      </c>
      <c r="G23" s="25">
        <f>+요약!G25</f>
        <v>131</v>
      </c>
      <c r="H23" s="25">
        <f>+요약!H25</f>
        <v>221</v>
      </c>
      <c r="I23" s="25">
        <f>+요약!I25</f>
        <v>1098</v>
      </c>
      <c r="J23" s="25">
        <f>+요약!J25</f>
        <v>111</v>
      </c>
      <c r="K23" s="25">
        <f>+요약!K25</f>
        <v>126</v>
      </c>
      <c r="L23" s="25">
        <f>+요약!L25</f>
        <v>413</v>
      </c>
    </row>
    <row r="24" spans="3:12" ht="21.75" customHeight="1" x14ac:dyDescent="0.25">
      <c r="C24" s="24">
        <v>16</v>
      </c>
      <c r="D24" s="25">
        <f>+요약!D26</f>
        <v>676</v>
      </c>
      <c r="E24" s="25">
        <f>+요약!E26</f>
        <v>281</v>
      </c>
      <c r="F24" s="25">
        <f>+요약!F26</f>
        <v>82</v>
      </c>
      <c r="G24" s="25">
        <f>+요약!G26</f>
        <v>137</v>
      </c>
      <c r="H24" s="25">
        <f>+요약!H26</f>
        <v>453</v>
      </c>
      <c r="I24" s="25">
        <f>+요약!I26</f>
        <v>959</v>
      </c>
      <c r="J24" s="25">
        <f>+요약!J26</f>
        <v>107</v>
      </c>
      <c r="K24" s="25">
        <f>+요약!K26</f>
        <v>99</v>
      </c>
      <c r="L24" s="25">
        <f>+요약!L26</f>
        <v>282</v>
      </c>
    </row>
    <row r="25" spans="3:12" ht="21.75" customHeight="1" x14ac:dyDescent="0.25">
      <c r="C25" s="24">
        <v>17</v>
      </c>
      <c r="D25" s="25">
        <f>+요약!D27</f>
        <v>1741</v>
      </c>
      <c r="E25" s="25">
        <f>+요약!E27</f>
        <v>236</v>
      </c>
      <c r="F25" s="25">
        <f>+요약!F27</f>
        <v>331</v>
      </c>
      <c r="G25" s="25">
        <f>+요약!G27</f>
        <v>174</v>
      </c>
      <c r="H25" s="25">
        <f>+요약!H27</f>
        <v>438</v>
      </c>
      <c r="I25" s="25">
        <f>+요약!I27</f>
        <v>395</v>
      </c>
      <c r="J25" s="25">
        <f>+요약!J27</f>
        <v>134</v>
      </c>
      <c r="K25" s="25">
        <f>+요약!K27</f>
        <v>236</v>
      </c>
      <c r="L25" s="25">
        <f>+요약!L27</f>
        <v>114</v>
      </c>
    </row>
    <row r="26" spans="3:12" ht="21.75" customHeight="1" x14ac:dyDescent="0.25">
      <c r="C26" s="24">
        <v>18</v>
      </c>
      <c r="D26" s="25">
        <f>+요약!D28</f>
        <v>1210</v>
      </c>
      <c r="E26" s="25">
        <f>+요약!E28</f>
        <v>105</v>
      </c>
      <c r="F26" s="25">
        <f>+요약!F28</f>
        <v>265</v>
      </c>
      <c r="G26" s="25">
        <f>+요약!G28</f>
        <v>119</v>
      </c>
      <c r="H26" s="25">
        <f>+요약!H28</f>
        <v>474</v>
      </c>
      <c r="I26" s="25">
        <f>+요약!I28</f>
        <v>350</v>
      </c>
      <c r="J26" s="25">
        <f>+요약!J28</f>
        <v>213</v>
      </c>
      <c r="K26" s="25">
        <f>+요약!K28</f>
        <v>189</v>
      </c>
      <c r="L26" s="25">
        <f>+요약!L28</f>
        <v>109</v>
      </c>
    </row>
    <row r="27" spans="3:12" ht="21.75" customHeight="1" x14ac:dyDescent="0.25">
      <c r="C27" s="24">
        <v>19</v>
      </c>
      <c r="D27" s="25">
        <f>+요약!D29</f>
        <v>649</v>
      </c>
      <c r="E27" s="25">
        <f>+요약!E29</f>
        <v>93</v>
      </c>
      <c r="F27" s="25">
        <f>+요약!F29</f>
        <v>0</v>
      </c>
      <c r="G27" s="25">
        <f>+요약!G29</f>
        <v>230</v>
      </c>
      <c r="H27" s="25">
        <f>+요약!H29</f>
        <v>215</v>
      </c>
      <c r="I27" s="25">
        <f>+요약!I29</f>
        <v>424</v>
      </c>
      <c r="J27" s="25">
        <f>+요약!J29</f>
        <v>184</v>
      </c>
      <c r="K27" s="25">
        <f>+요약!K29</f>
        <v>567</v>
      </c>
      <c r="L27" s="25">
        <f>+요약!L29</f>
        <v>125</v>
      </c>
    </row>
    <row r="28" spans="3:12" ht="21.75" customHeight="1" x14ac:dyDescent="0.25">
      <c r="C28" s="24">
        <v>20</v>
      </c>
      <c r="D28" s="25">
        <f>+요약!D30</f>
        <v>491</v>
      </c>
      <c r="E28" s="25">
        <f>+요약!E30</f>
        <v>217</v>
      </c>
      <c r="F28" s="25">
        <f>+요약!F30</f>
        <v>60</v>
      </c>
      <c r="G28" s="25">
        <f>+요약!G30</f>
        <v>661</v>
      </c>
      <c r="H28" s="25">
        <f>+요약!H30</f>
        <v>155</v>
      </c>
      <c r="I28" s="25">
        <f>+요약!I30</f>
        <v>407</v>
      </c>
      <c r="J28" s="25">
        <f>+요약!J30</f>
        <v>59</v>
      </c>
      <c r="K28" s="25">
        <f>+요약!K30</f>
        <v>341</v>
      </c>
      <c r="L28" s="25">
        <f>+요약!L30</f>
        <v>86</v>
      </c>
    </row>
    <row r="29" spans="3:12" ht="21.75" customHeight="1" x14ac:dyDescent="0.25">
      <c r="C29" s="24">
        <v>21</v>
      </c>
      <c r="D29" s="25">
        <f>+요약!D31</f>
        <v>694</v>
      </c>
      <c r="E29" s="25">
        <f>+요약!E31</f>
        <v>121</v>
      </c>
      <c r="F29" s="25">
        <f>+요약!F31</f>
        <v>65</v>
      </c>
      <c r="G29" s="25">
        <f>+요약!G31</f>
        <v>559</v>
      </c>
      <c r="H29" s="25">
        <f>+요약!H31</f>
        <v>183</v>
      </c>
      <c r="I29" s="25">
        <f>+요약!I31</f>
        <v>462</v>
      </c>
      <c r="J29" s="25">
        <f>+요약!J31</f>
        <v>100</v>
      </c>
      <c r="K29" s="25">
        <f>+요약!K31</f>
        <v>0</v>
      </c>
      <c r="L29" s="25">
        <f>+요약!L31</f>
        <v>154</v>
      </c>
    </row>
    <row r="30" spans="3:12" ht="21.75" customHeight="1" x14ac:dyDescent="0.25">
      <c r="C30" s="24">
        <v>22</v>
      </c>
      <c r="D30" s="25">
        <f>+요약!D32</f>
        <v>558</v>
      </c>
      <c r="E30" s="25">
        <f>+요약!E32</f>
        <v>76</v>
      </c>
      <c r="F30" s="25">
        <f>+요약!F32</f>
        <v>64</v>
      </c>
      <c r="G30" s="25">
        <f>+요약!G32</f>
        <v>202</v>
      </c>
      <c r="H30" s="25">
        <f>+요약!H32</f>
        <v>226</v>
      </c>
      <c r="I30" s="25">
        <f>+요약!I32</f>
        <v>1337</v>
      </c>
      <c r="J30" s="25">
        <f>+요약!J32</f>
        <v>73</v>
      </c>
      <c r="K30" s="25">
        <f>+요약!K32</f>
        <v>114</v>
      </c>
      <c r="L30" s="25">
        <f>+요약!L32</f>
        <v>358</v>
      </c>
    </row>
    <row r="31" spans="3:12" ht="21.75" customHeight="1" x14ac:dyDescent="0.25">
      <c r="C31" s="24">
        <v>23</v>
      </c>
      <c r="D31" s="25">
        <f>+요약!D33</f>
        <v>765</v>
      </c>
      <c r="E31" s="25">
        <f>+요약!E33</f>
        <v>283</v>
      </c>
      <c r="F31" s="25">
        <f>+요약!F33</f>
        <v>110</v>
      </c>
      <c r="G31" s="25">
        <f>+요약!G33</f>
        <v>184</v>
      </c>
      <c r="H31" s="25">
        <f>+요약!H33</f>
        <v>507</v>
      </c>
      <c r="I31" s="25">
        <f>+요약!I33</f>
        <v>928</v>
      </c>
      <c r="J31" s="25">
        <f>+요약!J33</f>
        <v>97</v>
      </c>
      <c r="K31" s="25">
        <f>+요약!K33</f>
        <v>129</v>
      </c>
      <c r="L31" s="25">
        <f>+요약!L33</f>
        <v>298</v>
      </c>
    </row>
    <row r="32" spans="3:12" ht="21.75" customHeight="1" x14ac:dyDescent="0.25">
      <c r="C32" s="24">
        <v>24</v>
      </c>
      <c r="D32" s="25">
        <f>+요약!D34</f>
        <v>1617</v>
      </c>
      <c r="E32" s="25">
        <f>+요약!E34</f>
        <v>229</v>
      </c>
      <c r="F32" s="25">
        <f>+요약!F34</f>
        <v>320</v>
      </c>
      <c r="G32" s="25">
        <f>+요약!G34</f>
        <v>128</v>
      </c>
      <c r="H32" s="25">
        <f>+요약!H34</f>
        <v>395</v>
      </c>
      <c r="I32" s="25">
        <f>+요약!I34</f>
        <v>420</v>
      </c>
      <c r="J32" s="25">
        <f>+요약!J34</f>
        <v>112</v>
      </c>
      <c r="K32" s="25">
        <f>+요약!K34</f>
        <v>159</v>
      </c>
      <c r="L32" s="25">
        <f>+요약!L34</f>
        <v>101</v>
      </c>
    </row>
    <row r="33" spans="3:12" ht="21.75" customHeight="1" x14ac:dyDescent="0.25">
      <c r="C33" s="24">
        <v>25</v>
      </c>
      <c r="D33" s="25">
        <f>+요약!D35</f>
        <v>1241</v>
      </c>
      <c r="E33" s="25">
        <f>+요약!E35</f>
        <v>80</v>
      </c>
      <c r="F33" s="25">
        <f>+요약!F35</f>
        <v>280</v>
      </c>
      <c r="G33" s="25">
        <f>+요약!G35</f>
        <v>160</v>
      </c>
      <c r="H33" s="25">
        <f>+요약!H35</f>
        <v>30</v>
      </c>
      <c r="I33" s="25">
        <f>+요약!I35</f>
        <v>382</v>
      </c>
      <c r="J33" s="25">
        <f>+요약!J35</f>
        <v>266</v>
      </c>
      <c r="K33" s="25">
        <f>+요약!K35</f>
        <v>203</v>
      </c>
      <c r="L33" s="25">
        <f>+요약!L35</f>
        <v>116</v>
      </c>
    </row>
    <row r="34" spans="3:12" ht="21.75" customHeight="1" x14ac:dyDescent="0.25">
      <c r="C34" s="24">
        <v>26</v>
      </c>
      <c r="D34" s="25">
        <f>+요약!D36</f>
        <v>480</v>
      </c>
      <c r="E34" s="25">
        <f>+요약!E36</f>
        <v>56</v>
      </c>
      <c r="F34" s="25">
        <f>+요약!F36</f>
        <v>78</v>
      </c>
      <c r="G34" s="25">
        <f>+요약!G36</f>
        <v>203</v>
      </c>
      <c r="H34" s="25">
        <f>+요약!H36</f>
        <v>210</v>
      </c>
      <c r="I34" s="25">
        <f>+요약!I36</f>
        <v>365</v>
      </c>
      <c r="J34" s="25">
        <f>+요약!J36</f>
        <v>204</v>
      </c>
      <c r="K34" s="25">
        <f>+요약!K36</f>
        <v>525</v>
      </c>
      <c r="L34" s="25">
        <f>+요약!L36</f>
        <v>176</v>
      </c>
    </row>
    <row r="35" spans="3:12" ht="21.75" customHeight="1" x14ac:dyDescent="0.25">
      <c r="C35" s="24">
        <v>27</v>
      </c>
      <c r="D35" s="25">
        <f>+요약!D37</f>
        <v>566</v>
      </c>
      <c r="E35" s="25">
        <f>+요약!E37</f>
        <v>55</v>
      </c>
      <c r="F35" s="25">
        <f>+요약!F37</f>
        <v>54</v>
      </c>
      <c r="G35" s="25">
        <f>+요약!G37</f>
        <v>841</v>
      </c>
      <c r="H35" s="25">
        <f>+요약!H37</f>
        <v>194</v>
      </c>
      <c r="I35" s="25">
        <f>+요약!I37</f>
        <v>319</v>
      </c>
      <c r="J35" s="25">
        <f>+요약!J37</f>
        <v>200</v>
      </c>
      <c r="K35" s="25">
        <f>+요약!K37</f>
        <v>353</v>
      </c>
      <c r="L35" s="25">
        <f>+요약!L37</f>
        <v>126</v>
      </c>
    </row>
    <row r="36" spans="3:12" ht="21.75" customHeight="1" x14ac:dyDescent="0.25">
      <c r="C36" s="24">
        <v>28</v>
      </c>
      <c r="D36" s="25">
        <f>+요약!D38</f>
        <v>616</v>
      </c>
      <c r="E36" s="25">
        <f>+요약!E38</f>
        <v>61</v>
      </c>
      <c r="F36" s="25">
        <f>+요약!F38</f>
        <v>176</v>
      </c>
      <c r="G36" s="25">
        <f>+요약!G38</f>
        <v>701</v>
      </c>
      <c r="H36" s="25">
        <f>+요약!H38</f>
        <v>212</v>
      </c>
      <c r="I36" s="25">
        <f>+요약!I38</f>
        <v>510</v>
      </c>
      <c r="J36" s="25">
        <f>+요약!J38</f>
        <v>68</v>
      </c>
      <c r="K36" s="25">
        <f>+요약!K38</f>
        <v>163</v>
      </c>
      <c r="L36" s="25">
        <f>+요약!L38</f>
        <v>130</v>
      </c>
    </row>
    <row r="37" spans="3:12" ht="21.75" customHeight="1" x14ac:dyDescent="0.25">
      <c r="C37" s="24">
        <v>29</v>
      </c>
      <c r="D37" s="25">
        <f>+요약!D39</f>
        <v>549</v>
      </c>
      <c r="E37" s="25">
        <f>+요약!E39</f>
        <v>86</v>
      </c>
      <c r="F37" s="25">
        <f>+요약!F39</f>
        <v>55</v>
      </c>
      <c r="G37" s="25">
        <f>+요약!G39</f>
        <v>250</v>
      </c>
      <c r="H37" s="25">
        <f>+요약!H39</f>
        <v>296</v>
      </c>
      <c r="I37" s="25">
        <f>+요약!I39</f>
        <v>0</v>
      </c>
      <c r="J37" s="25">
        <f>+요약!J39</f>
        <v>128</v>
      </c>
      <c r="K37" s="25">
        <f>+요약!K39</f>
        <v>105</v>
      </c>
      <c r="L37" s="25">
        <f>+요약!L39</f>
        <v>347</v>
      </c>
    </row>
    <row r="38" spans="3:12" ht="21.75" customHeight="1" x14ac:dyDescent="0.25">
      <c r="C38" s="24">
        <v>30</v>
      </c>
      <c r="D38" s="25">
        <f>+요약!D40</f>
        <v>740</v>
      </c>
      <c r="E38" s="25">
        <f>+요약!E40</f>
        <v>283</v>
      </c>
      <c r="F38" s="25">
        <f>+요약!F40</f>
        <v>134</v>
      </c>
      <c r="G38" s="25">
        <f>+요약!G40</f>
        <v>240</v>
      </c>
      <c r="H38" s="25">
        <f>+요약!H40</f>
        <v>602</v>
      </c>
      <c r="I38" s="25">
        <f>+요약!I40</f>
        <v>0</v>
      </c>
      <c r="J38" s="25">
        <f>+요약!J40</f>
        <v>54</v>
      </c>
      <c r="K38" s="25">
        <f>+요약!K40</f>
        <v>130</v>
      </c>
      <c r="L38" s="25">
        <f>+요약!L40</f>
        <v>258</v>
      </c>
    </row>
    <row r="39" spans="3:12" ht="21.75" customHeight="1" x14ac:dyDescent="0.25">
      <c r="C39" s="24">
        <v>31</v>
      </c>
      <c r="D39" s="25">
        <f>+요약!D41</f>
        <v>1556</v>
      </c>
      <c r="E39" s="25">
        <f>+요약!E41</f>
        <v>281</v>
      </c>
      <c r="F39" s="25">
        <f>+요약!F41</f>
        <v>349</v>
      </c>
      <c r="G39" s="25">
        <f>+요약!G41</f>
        <v>419</v>
      </c>
      <c r="H39" s="25">
        <f>+요약!H41</f>
        <v>577</v>
      </c>
      <c r="I39" s="25">
        <f>+요약!I41</f>
        <v>809</v>
      </c>
      <c r="J39" s="25">
        <f>+요약!J41</f>
        <v>122</v>
      </c>
      <c r="K39" s="25">
        <f>+요약!K41</f>
        <v>120</v>
      </c>
      <c r="L39" s="25">
        <f>+요약!L41</f>
        <v>105</v>
      </c>
    </row>
    <row r="40" spans="3:12" ht="21.75" customHeight="1" x14ac:dyDescent="0.25">
      <c r="C40" s="24">
        <v>32</v>
      </c>
      <c r="D40" s="25">
        <f>+요약!D42</f>
        <v>1267</v>
      </c>
      <c r="E40" s="25">
        <f>+요약!E42</f>
        <v>60</v>
      </c>
      <c r="F40" s="25">
        <f>+요약!F42</f>
        <v>407</v>
      </c>
      <c r="G40" s="25">
        <f>+요약!G42</f>
        <v>457</v>
      </c>
      <c r="H40" s="25">
        <f>+요약!H42</f>
        <v>254</v>
      </c>
      <c r="I40" s="25">
        <f>+요약!I42</f>
        <v>694</v>
      </c>
      <c r="J40" s="25">
        <f>+요약!J42</f>
        <v>157</v>
      </c>
      <c r="K40" s="25">
        <f>+요약!K42</f>
        <v>177</v>
      </c>
      <c r="L40" s="25">
        <f>+요약!L42</f>
        <v>90</v>
      </c>
    </row>
    <row r="41" spans="3:12" ht="21.75" customHeight="1" x14ac:dyDescent="0.25">
      <c r="C41" s="24">
        <v>33</v>
      </c>
      <c r="D41" s="25">
        <f>+요약!D43</f>
        <v>719</v>
      </c>
      <c r="E41" s="25">
        <f>+요약!E43</f>
        <v>83</v>
      </c>
      <c r="F41" s="25">
        <f>+요약!F43</f>
        <v>60</v>
      </c>
      <c r="G41" s="25">
        <f>+요약!G43</f>
        <v>210</v>
      </c>
      <c r="H41" s="25">
        <f>+요약!H43</f>
        <v>212</v>
      </c>
      <c r="I41" s="25">
        <f>+요약!I43</f>
        <v>424</v>
      </c>
      <c r="J41" s="25">
        <f>+요약!J43</f>
        <v>164</v>
      </c>
      <c r="K41" s="25">
        <f>+요약!K43</f>
        <v>326</v>
      </c>
      <c r="L41" s="25">
        <f>+요약!L43</f>
        <v>150</v>
      </c>
    </row>
    <row r="42" spans="3:12" ht="21.75" customHeight="1" x14ac:dyDescent="0.25">
      <c r="C42" s="24">
        <v>34</v>
      </c>
      <c r="D42" s="25">
        <f>+요약!D44</f>
        <v>500</v>
      </c>
      <c r="E42" s="25">
        <f>+요약!E44</f>
        <v>248</v>
      </c>
      <c r="F42" s="25">
        <f>+요약!F44</f>
        <v>61</v>
      </c>
      <c r="G42" s="25">
        <f>+요약!G44</f>
        <v>558</v>
      </c>
      <c r="H42" s="25">
        <f>+요약!H44</f>
        <v>349</v>
      </c>
      <c r="I42" s="25">
        <f>+요약!I44</f>
        <v>406</v>
      </c>
      <c r="J42" s="25">
        <f>+요약!J44</f>
        <v>125</v>
      </c>
      <c r="K42" s="25">
        <f>+요약!K44</f>
        <v>320</v>
      </c>
      <c r="L42" s="25">
        <f>+요약!L44</f>
        <v>160</v>
      </c>
    </row>
    <row r="43" spans="3:12" ht="21.75" customHeight="1" x14ac:dyDescent="0.25">
      <c r="C43" s="24">
        <v>35</v>
      </c>
      <c r="D43" s="25">
        <f>+요약!D45</f>
        <v>715</v>
      </c>
      <c r="E43" s="25">
        <f>+요약!E45</f>
        <v>65</v>
      </c>
      <c r="F43" s="25">
        <f>+요약!F45</f>
        <v>96</v>
      </c>
      <c r="G43" s="25">
        <f>+요약!G45</f>
        <v>423</v>
      </c>
      <c r="H43" s="25">
        <f>+요약!H45</f>
        <v>87</v>
      </c>
      <c r="I43" s="25">
        <f>+요약!I45</f>
        <v>592</v>
      </c>
      <c r="J43" s="25">
        <f>+요약!J45</f>
        <v>131</v>
      </c>
      <c r="K43" s="25">
        <f>+요약!K45</f>
        <v>94</v>
      </c>
      <c r="L43" s="25">
        <f>+요약!L45</f>
        <v>117</v>
      </c>
    </row>
    <row r="44" spans="3:12" ht="21.75" customHeight="1" x14ac:dyDescent="0.25">
      <c r="C44" s="24">
        <v>36</v>
      </c>
      <c r="D44" s="25">
        <f>+요약!D46</f>
        <v>606</v>
      </c>
      <c r="E44" s="25">
        <f>+요약!E46</f>
        <v>192</v>
      </c>
      <c r="F44" s="25">
        <f>+요약!F46</f>
        <v>85</v>
      </c>
      <c r="G44" s="25">
        <f>+요약!G46</f>
        <v>160</v>
      </c>
      <c r="H44" s="25">
        <f>+요약!H46</f>
        <v>163</v>
      </c>
      <c r="I44" s="25">
        <f>+요약!I46</f>
        <v>1310</v>
      </c>
      <c r="J44" s="25">
        <f>+요약!J46</f>
        <v>83</v>
      </c>
      <c r="K44" s="25">
        <f>+요약!K46</f>
        <v>122</v>
      </c>
      <c r="L44" s="25">
        <f>+요약!L46</f>
        <v>389</v>
      </c>
    </row>
    <row r="45" spans="3:12" ht="21.75" customHeight="1" x14ac:dyDescent="0.25">
      <c r="C45" s="24">
        <v>37</v>
      </c>
      <c r="D45" s="25">
        <f>+요약!D47</f>
        <v>985</v>
      </c>
      <c r="E45" s="25">
        <f>+요약!E47</f>
        <v>354</v>
      </c>
      <c r="F45" s="25">
        <f>+요약!F47</f>
        <v>155</v>
      </c>
      <c r="G45" s="25">
        <f>+요약!G47</f>
        <v>194</v>
      </c>
      <c r="H45" s="25">
        <f>+요약!H47</f>
        <v>373</v>
      </c>
      <c r="I45" s="25">
        <f>+요약!I47</f>
        <v>1277</v>
      </c>
      <c r="J45" s="25">
        <f>+요약!J47</f>
        <v>97</v>
      </c>
      <c r="K45" s="25">
        <f>+요약!K47</f>
        <v>127</v>
      </c>
      <c r="L45" s="25">
        <f>+요약!L47</f>
        <v>251</v>
      </c>
    </row>
    <row r="46" spans="3:12" ht="21.75" customHeight="1" x14ac:dyDescent="0.25">
      <c r="C46" s="24">
        <v>38</v>
      </c>
      <c r="D46" s="25">
        <f>+요약!D48</f>
        <v>1776</v>
      </c>
      <c r="E46" s="25">
        <f>+요약!E48</f>
        <v>224</v>
      </c>
      <c r="F46" s="25">
        <f>+요약!F48</f>
        <v>372</v>
      </c>
      <c r="G46" s="25">
        <f>+요약!G48</f>
        <v>163</v>
      </c>
      <c r="H46" s="25">
        <f>+요약!H48</f>
        <v>275</v>
      </c>
      <c r="I46" s="25">
        <f>+요약!I48</f>
        <v>695</v>
      </c>
      <c r="J46" s="25">
        <f>+요약!J48</f>
        <v>68</v>
      </c>
      <c r="K46" s="25">
        <f>+요약!K48</f>
        <v>95</v>
      </c>
      <c r="L46" s="25">
        <f>+요약!L48</f>
        <v>88</v>
      </c>
    </row>
    <row r="47" spans="3:12" ht="21.75" customHeight="1" x14ac:dyDescent="0.25">
      <c r="C47" s="24">
        <v>39</v>
      </c>
      <c r="D47" s="25">
        <f>+요약!D49</f>
        <v>1300</v>
      </c>
      <c r="E47" s="25">
        <f>+요약!E49</f>
        <v>0</v>
      </c>
      <c r="F47" s="25">
        <f>+요약!F49</f>
        <v>355</v>
      </c>
      <c r="G47" s="25">
        <f>+요약!G49</f>
        <v>182</v>
      </c>
      <c r="H47" s="25">
        <f>+요약!H49</f>
        <v>96</v>
      </c>
      <c r="I47" s="25">
        <f>+요약!I49</f>
        <v>677</v>
      </c>
      <c r="J47" s="25">
        <f>+요약!J49</f>
        <v>195</v>
      </c>
      <c r="K47" s="25">
        <f>+요약!K49</f>
        <v>151</v>
      </c>
      <c r="L47" s="25">
        <f>+요약!L49</f>
        <v>103</v>
      </c>
    </row>
    <row r="48" spans="3:12" ht="21.75" customHeight="1" x14ac:dyDescent="0.25">
      <c r="C48" s="24">
        <v>40</v>
      </c>
      <c r="D48" s="25">
        <f>+요약!D50</f>
        <v>617</v>
      </c>
      <c r="E48" s="25">
        <f>+요약!E50</f>
        <v>99</v>
      </c>
      <c r="F48" s="25">
        <f>+요약!F50</f>
        <v>0</v>
      </c>
      <c r="G48" s="25">
        <f>+요약!G50</f>
        <v>274</v>
      </c>
      <c r="H48" s="25">
        <f>+요약!H50</f>
        <v>76</v>
      </c>
      <c r="I48" s="25">
        <f>+요약!I50</f>
        <v>198</v>
      </c>
      <c r="J48" s="25">
        <f>+요약!J50</f>
        <v>158</v>
      </c>
      <c r="K48" s="25">
        <f>+요약!K50</f>
        <v>487</v>
      </c>
      <c r="L48" s="25">
        <f>+요약!L50</f>
        <v>147</v>
      </c>
    </row>
    <row r="49" spans="3:12" ht="21.75" customHeight="1" x14ac:dyDescent="0.25">
      <c r="C49" s="24">
        <v>41</v>
      </c>
      <c r="D49" s="25">
        <f>+요약!D51</f>
        <v>579</v>
      </c>
      <c r="E49" s="25">
        <f>+요약!E51</f>
        <v>105</v>
      </c>
      <c r="F49" s="25">
        <f>+요약!F51</f>
        <v>106</v>
      </c>
      <c r="G49" s="25">
        <f>+요약!G51</f>
        <v>656</v>
      </c>
      <c r="H49" s="25">
        <f>+요약!H51</f>
        <v>138</v>
      </c>
      <c r="I49" s="25">
        <f>+요약!I51</f>
        <v>186</v>
      </c>
      <c r="J49" s="25">
        <f>+요약!J51</f>
        <v>25</v>
      </c>
      <c r="K49" s="25">
        <f>+요약!K51</f>
        <v>427</v>
      </c>
      <c r="L49" s="25">
        <f>+요약!L51</f>
        <v>116</v>
      </c>
    </row>
    <row r="50" spans="3:12" ht="21.75" customHeight="1" x14ac:dyDescent="0.25">
      <c r="C50" s="24">
        <v>42</v>
      </c>
      <c r="D50" s="25">
        <f>+요약!D52</f>
        <v>697</v>
      </c>
      <c r="E50" s="25">
        <f>+요약!E52</f>
        <v>51</v>
      </c>
      <c r="F50" s="25">
        <f>+요약!F52</f>
        <v>157</v>
      </c>
      <c r="G50" s="25">
        <f>+요약!G52</f>
        <v>406</v>
      </c>
      <c r="H50" s="25">
        <f>+요약!H52</f>
        <v>127</v>
      </c>
      <c r="I50" s="25">
        <f>+요약!I52</f>
        <v>256</v>
      </c>
      <c r="J50" s="25">
        <f>+요약!J52</f>
        <v>122</v>
      </c>
      <c r="K50" s="25">
        <f>+요약!K52</f>
        <v>0</v>
      </c>
      <c r="L50" s="25">
        <f>+요약!L52</f>
        <v>308</v>
      </c>
    </row>
    <row r="51" spans="3:12" ht="21.75" customHeight="1" x14ac:dyDescent="0.25">
      <c r="C51" s="24">
        <v>43</v>
      </c>
      <c r="D51" s="25">
        <f>+요약!D53</f>
        <v>561</v>
      </c>
      <c r="E51" s="25">
        <f>+요약!E53</f>
        <v>76</v>
      </c>
      <c r="F51" s="25">
        <f>+요약!F53</f>
        <v>133</v>
      </c>
      <c r="G51" s="25">
        <f>+요약!G53</f>
        <v>173</v>
      </c>
      <c r="H51" s="25">
        <f>+요약!H53</f>
        <v>0</v>
      </c>
      <c r="I51" s="25">
        <f>+요약!I53</f>
        <v>638</v>
      </c>
      <c r="J51" s="25">
        <f>+요약!J53</f>
        <v>102</v>
      </c>
      <c r="K51" s="25">
        <f>+요약!K53</f>
        <v>135</v>
      </c>
      <c r="L51" s="25">
        <f>+요약!L53</f>
        <v>343</v>
      </c>
    </row>
    <row r="52" spans="3:12" ht="21.75" customHeight="1" x14ac:dyDescent="0.25">
      <c r="C52" s="24">
        <v>44</v>
      </c>
      <c r="D52" s="25">
        <f>+요약!D54</f>
        <v>755</v>
      </c>
      <c r="E52" s="25">
        <f>+요약!E54</f>
        <v>251</v>
      </c>
      <c r="F52" s="25">
        <f>+요약!F54</f>
        <v>177</v>
      </c>
      <c r="G52" s="25">
        <f>+요약!G54</f>
        <v>170</v>
      </c>
      <c r="H52" s="25">
        <f>+요약!H54</f>
        <v>0</v>
      </c>
      <c r="I52" s="25">
        <f>+요약!I54</f>
        <v>507</v>
      </c>
      <c r="J52" s="25">
        <f>+요약!J54</f>
        <v>74</v>
      </c>
      <c r="K52" s="25">
        <f>+요약!K54</f>
        <v>161</v>
      </c>
      <c r="L52" s="25">
        <f>+요약!L54</f>
        <v>302</v>
      </c>
    </row>
    <row r="53" spans="3:12" ht="21.75" customHeight="1" x14ac:dyDescent="0.25">
      <c r="C53" s="24">
        <v>45</v>
      </c>
      <c r="D53" s="25">
        <f>+요약!D55</f>
        <v>1461</v>
      </c>
      <c r="E53" s="25">
        <f>+요약!E55</f>
        <v>158</v>
      </c>
      <c r="F53" s="25">
        <f>+요약!F55</f>
        <v>465</v>
      </c>
      <c r="G53" s="25">
        <f>+요약!G55</f>
        <v>138</v>
      </c>
      <c r="H53" s="25">
        <f>+요약!H55</f>
        <v>295</v>
      </c>
      <c r="I53" s="25">
        <f>+요약!I55</f>
        <v>258</v>
      </c>
      <c r="J53" s="25">
        <f>+요약!J55</f>
        <v>159</v>
      </c>
      <c r="K53" s="25">
        <f>+요약!K55</f>
        <v>126</v>
      </c>
      <c r="L53" s="25">
        <f>+요약!L55</f>
        <v>143</v>
      </c>
    </row>
    <row r="54" spans="3:12" ht="21.75" customHeight="1" x14ac:dyDescent="0.25">
      <c r="C54" s="24">
        <v>46</v>
      </c>
      <c r="D54" s="25">
        <f>+요약!D56</f>
        <v>989</v>
      </c>
      <c r="E54" s="25">
        <f>+요약!E56</f>
        <v>51</v>
      </c>
      <c r="F54" s="25">
        <f>+요약!F56</f>
        <v>361</v>
      </c>
      <c r="G54" s="25">
        <f>+요약!G56</f>
        <v>157</v>
      </c>
      <c r="H54" s="25">
        <f>+요약!H56</f>
        <v>327</v>
      </c>
      <c r="I54" s="25">
        <f>+요약!I56</f>
        <v>245</v>
      </c>
      <c r="J54" s="25">
        <f>+요약!J56</f>
        <v>194</v>
      </c>
      <c r="K54" s="25">
        <f>+요약!K56</f>
        <v>153</v>
      </c>
      <c r="L54" s="25">
        <f>+요약!L56</f>
        <v>0</v>
      </c>
    </row>
    <row r="55" spans="3:12" ht="21.75" customHeight="1" x14ac:dyDescent="0.25">
      <c r="C55" s="24">
        <v>47</v>
      </c>
      <c r="D55" s="25">
        <f>+요약!D57</f>
        <v>512</v>
      </c>
      <c r="E55" s="25">
        <f>+요약!E57</f>
        <v>32</v>
      </c>
      <c r="F55" s="25">
        <f>+요약!F57</f>
        <v>123</v>
      </c>
      <c r="G55" s="25">
        <f>+요약!G57</f>
        <v>189</v>
      </c>
      <c r="H55" s="25">
        <f>+요약!H57</f>
        <v>77</v>
      </c>
      <c r="I55" s="25">
        <f>+요약!I57</f>
        <v>195</v>
      </c>
      <c r="J55" s="25">
        <f>+요약!J57</f>
        <v>154</v>
      </c>
      <c r="K55" s="25">
        <f>+요약!K57</f>
        <v>521</v>
      </c>
      <c r="L55" s="25">
        <f>+요약!L57</f>
        <v>0</v>
      </c>
    </row>
    <row r="56" spans="3:12" ht="21.75" customHeight="1" x14ac:dyDescent="0.25">
      <c r="C56" s="24">
        <v>48</v>
      </c>
      <c r="D56" s="25">
        <f>+요약!D58</f>
        <v>435</v>
      </c>
      <c r="E56" s="25">
        <f>+요약!E58</f>
        <v>36</v>
      </c>
      <c r="F56" s="25">
        <f>+요약!F58</f>
        <v>121</v>
      </c>
      <c r="G56" s="25">
        <f>+요약!G58</f>
        <v>466</v>
      </c>
      <c r="H56" s="25">
        <f>+요약!H58</f>
        <v>79</v>
      </c>
      <c r="I56" s="25">
        <f>+요약!I58</f>
        <v>190</v>
      </c>
      <c r="J56" s="25">
        <f>+요약!J58</f>
        <v>84</v>
      </c>
      <c r="K56" s="25">
        <f>+요약!K58</f>
        <v>523</v>
      </c>
      <c r="L56" s="25">
        <f>+요약!L58</f>
        <v>0</v>
      </c>
    </row>
    <row r="57" spans="3:12" ht="21.75" customHeight="1" x14ac:dyDescent="0.25">
      <c r="C57" s="24">
        <v>49</v>
      </c>
      <c r="D57" s="25">
        <f>+요약!D59</f>
        <v>435</v>
      </c>
      <c r="E57" s="25">
        <f>+요약!E59</f>
        <v>57</v>
      </c>
      <c r="F57" s="25">
        <f>+요약!F59</f>
        <v>118</v>
      </c>
      <c r="G57" s="25">
        <f>+요약!G59</f>
        <v>324</v>
      </c>
      <c r="H57" s="25">
        <f>+요약!H59</f>
        <v>198</v>
      </c>
      <c r="I57" s="25">
        <f>+요약!I59</f>
        <v>294</v>
      </c>
      <c r="J57" s="25">
        <f>+요약!J59</f>
        <v>62</v>
      </c>
      <c r="K57" s="25">
        <f>+요약!K59</f>
        <v>157</v>
      </c>
      <c r="L57" s="25">
        <f>+요약!L59</f>
        <v>0</v>
      </c>
    </row>
    <row r="58" spans="3:12" ht="21.75" customHeight="1" x14ac:dyDescent="0.25">
      <c r="C58" s="24">
        <v>50</v>
      </c>
      <c r="D58" s="25">
        <f>+요약!D60</f>
        <v>374</v>
      </c>
      <c r="E58" s="25">
        <f>+요약!E60</f>
        <v>68</v>
      </c>
      <c r="F58" s="25">
        <f>+요약!F60</f>
        <v>127</v>
      </c>
      <c r="G58" s="25">
        <f>+요약!G60</f>
        <v>0</v>
      </c>
      <c r="H58" s="25">
        <f>+요약!H60</f>
        <v>234</v>
      </c>
      <c r="I58" s="25">
        <f>+요약!I60</f>
        <v>638</v>
      </c>
      <c r="J58" s="25">
        <f>+요약!J60</f>
        <v>84</v>
      </c>
      <c r="K58" s="25">
        <f>+요약!K60</f>
        <v>102</v>
      </c>
      <c r="L58" s="25">
        <f>+요약!L60</f>
        <v>0</v>
      </c>
    </row>
    <row r="59" spans="3:12" ht="21.75" customHeight="1" x14ac:dyDescent="0.25">
      <c r="C59" s="24">
        <v>51</v>
      </c>
      <c r="D59" s="25">
        <f>+요약!D61</f>
        <v>410</v>
      </c>
      <c r="E59" s="25">
        <f>+요약!E61</f>
        <v>245</v>
      </c>
      <c r="F59" s="25">
        <f>+요약!F61</f>
        <v>244</v>
      </c>
      <c r="G59" s="25">
        <f>+요약!G61</f>
        <v>112</v>
      </c>
      <c r="H59" s="25">
        <f>+요약!H61</f>
        <v>317</v>
      </c>
      <c r="I59" s="25">
        <f>+요약!I61</f>
        <v>529</v>
      </c>
      <c r="J59" s="25">
        <f>+요약!J61</f>
        <v>140</v>
      </c>
      <c r="K59" s="25">
        <f>+요약!K61</f>
        <v>143</v>
      </c>
      <c r="L59" s="25">
        <f>+요약!L61</f>
        <v>0</v>
      </c>
    </row>
    <row r="60" spans="3:12" ht="21.75" customHeight="1" x14ac:dyDescent="0.25">
      <c r="C60" s="24">
        <v>52</v>
      </c>
      <c r="D60" s="25">
        <f>+요약!D62</f>
        <v>764</v>
      </c>
      <c r="E60" s="25">
        <f>+요약!E62</f>
        <v>158</v>
      </c>
      <c r="F60" s="25">
        <f>+요약!F62</f>
        <v>569</v>
      </c>
      <c r="G60" s="25">
        <f>+요약!G62</f>
        <v>126</v>
      </c>
      <c r="H60" s="25">
        <f>+요약!H62</f>
        <v>280</v>
      </c>
      <c r="I60" s="25">
        <f>+요약!I62</f>
        <v>280</v>
      </c>
      <c r="J60" s="25">
        <f>+요약!J62</f>
        <v>106</v>
      </c>
      <c r="K60" s="25">
        <f>+요약!K62</f>
        <v>125</v>
      </c>
      <c r="L60" s="25">
        <f>+요약!L62</f>
        <v>0</v>
      </c>
    </row>
    <row r="61" spans="3:12" ht="21.75" customHeight="1" x14ac:dyDescent="0.25">
      <c r="C61" s="24">
        <v>53</v>
      </c>
      <c r="D61" s="25">
        <f>+요약!D63</f>
        <v>650</v>
      </c>
      <c r="E61" s="25">
        <f>+요약!E63</f>
        <v>64</v>
      </c>
      <c r="F61" s="25">
        <f>+요약!F63</f>
        <v>527</v>
      </c>
      <c r="G61" s="25">
        <f>+요약!G63</f>
        <v>115</v>
      </c>
      <c r="H61" s="25">
        <f>+요약!H63</f>
        <v>125</v>
      </c>
      <c r="I61" s="25">
        <f>+요약!I63</f>
        <v>348</v>
      </c>
      <c r="J61" s="25">
        <f>+요약!J63</f>
        <v>189</v>
      </c>
      <c r="K61" s="25">
        <f>+요약!K63</f>
        <v>269</v>
      </c>
      <c r="L61" s="25">
        <f>+요약!L63</f>
        <v>0</v>
      </c>
    </row>
    <row r="62" spans="3:12" ht="21.75" customHeight="1" x14ac:dyDescent="0.25">
      <c r="C62" s="24">
        <v>54</v>
      </c>
      <c r="D62" s="25">
        <f>+요약!D64</f>
        <v>346</v>
      </c>
      <c r="E62" s="25">
        <f>+요약!E64</f>
        <v>89</v>
      </c>
      <c r="F62" s="25">
        <f>+요약!F64</f>
        <v>124</v>
      </c>
      <c r="G62" s="25">
        <f>+요약!G64</f>
        <v>154</v>
      </c>
      <c r="H62" s="25">
        <f>+요약!H64</f>
        <v>104</v>
      </c>
      <c r="I62" s="25">
        <f>+요약!I64</f>
        <v>241</v>
      </c>
      <c r="J62" s="25">
        <f>+요약!J64</f>
        <v>177</v>
      </c>
      <c r="K62" s="25">
        <f>+요약!K64</f>
        <v>502</v>
      </c>
      <c r="L62" s="25">
        <f>+요약!L64</f>
        <v>0</v>
      </c>
    </row>
    <row r="63" spans="3:12" ht="21.75" customHeight="1" x14ac:dyDescent="0.25">
      <c r="C63" s="24">
        <v>55</v>
      </c>
      <c r="D63" s="25">
        <f>+요약!D65</f>
        <v>240</v>
      </c>
      <c r="E63" s="25">
        <f>+요약!E65</f>
        <v>77</v>
      </c>
      <c r="F63" s="25">
        <f>+요약!F65</f>
        <v>202</v>
      </c>
      <c r="G63" s="25">
        <f>+요약!G65</f>
        <v>476</v>
      </c>
      <c r="H63" s="25">
        <f>+요약!H65</f>
        <v>120</v>
      </c>
      <c r="I63" s="25">
        <f>+요약!I65</f>
        <v>239</v>
      </c>
      <c r="J63" s="25">
        <f>+요약!J65</f>
        <v>65</v>
      </c>
      <c r="K63" s="25">
        <f>+요약!K65</f>
        <v>564</v>
      </c>
      <c r="L63" s="25">
        <f>+요약!L65</f>
        <v>0</v>
      </c>
    </row>
    <row r="64" spans="3:12" ht="21.75" customHeight="1" x14ac:dyDescent="0.25">
      <c r="C64" s="24">
        <v>56</v>
      </c>
      <c r="D64" s="25">
        <f>+요약!D66</f>
        <v>221</v>
      </c>
      <c r="E64" s="25">
        <f>+요약!E66</f>
        <v>84</v>
      </c>
      <c r="F64" s="25">
        <f>+요약!F66</f>
        <v>252</v>
      </c>
      <c r="G64" s="25">
        <f>+요약!G66</f>
        <v>264</v>
      </c>
      <c r="H64" s="25">
        <f>+요약!H66</f>
        <v>86</v>
      </c>
      <c r="I64" s="25">
        <f>+요약!I66</f>
        <v>273</v>
      </c>
      <c r="J64" s="25">
        <f>+요약!J66</f>
        <v>76</v>
      </c>
      <c r="K64" s="25">
        <f>+요약!K66</f>
        <v>135</v>
      </c>
      <c r="L64" s="25">
        <f>+요약!L66</f>
        <v>0</v>
      </c>
    </row>
    <row r="65" spans="3:12" ht="21.75" customHeight="1" x14ac:dyDescent="0.25">
      <c r="C65" s="24">
        <v>57</v>
      </c>
      <c r="D65" s="25">
        <f>+요약!D67</f>
        <v>301</v>
      </c>
      <c r="E65" s="25">
        <f>+요약!E67</f>
        <v>82</v>
      </c>
      <c r="F65" s="25">
        <f>+요약!F67</f>
        <v>122</v>
      </c>
      <c r="G65" s="25">
        <f>+요약!G67</f>
        <v>174</v>
      </c>
      <c r="H65" s="25">
        <f>+요약!H67</f>
        <v>147</v>
      </c>
      <c r="I65" s="25">
        <f>+요약!I67</f>
        <v>573</v>
      </c>
      <c r="J65" s="25">
        <f>+요약!J67</f>
        <v>150</v>
      </c>
      <c r="K65" s="25">
        <f>+요약!K67</f>
        <v>117</v>
      </c>
      <c r="L65" s="25">
        <f>+요약!L67</f>
        <v>0</v>
      </c>
    </row>
    <row r="66" spans="3:12" ht="21.75" customHeight="1" x14ac:dyDescent="0.25">
      <c r="C66" s="24">
        <v>58</v>
      </c>
      <c r="D66" s="25">
        <f>+요약!D68</f>
        <v>383</v>
      </c>
      <c r="E66" s="25">
        <f>+요약!E68</f>
        <v>313</v>
      </c>
      <c r="F66" s="25">
        <f>+요약!F68</f>
        <v>243</v>
      </c>
      <c r="G66" s="25">
        <f>+요약!G68</f>
        <v>124</v>
      </c>
      <c r="H66" s="25">
        <f>+요약!H68</f>
        <v>348</v>
      </c>
      <c r="I66" s="25">
        <f>+요약!I68</f>
        <v>504</v>
      </c>
      <c r="J66" s="25">
        <f>+요약!J68</f>
        <v>110</v>
      </c>
      <c r="K66" s="25">
        <f>+요약!K68</f>
        <v>157</v>
      </c>
      <c r="L66" s="25">
        <f>+요약!L68</f>
        <v>0</v>
      </c>
    </row>
    <row r="67" spans="3:12" ht="21.75" customHeight="1" x14ac:dyDescent="0.25">
      <c r="C67" s="24">
        <v>59</v>
      </c>
      <c r="D67" s="25">
        <f>+요약!D69</f>
        <v>534</v>
      </c>
      <c r="E67" s="25">
        <f>+요약!E69</f>
        <v>174</v>
      </c>
      <c r="F67" s="25">
        <f>+요약!F69</f>
        <v>561</v>
      </c>
      <c r="G67" s="25">
        <f>+요약!G69</f>
        <v>309</v>
      </c>
      <c r="H67" s="25">
        <f>+요약!H69</f>
        <v>262</v>
      </c>
      <c r="I67" s="25">
        <f>+요약!I69</f>
        <v>224</v>
      </c>
      <c r="J67" s="25">
        <f>+요약!J69</f>
        <v>145</v>
      </c>
      <c r="K67" s="25">
        <f>+요약!K69</f>
        <v>169</v>
      </c>
      <c r="L67" s="25">
        <f>+요약!L69</f>
        <v>0</v>
      </c>
    </row>
    <row r="68" spans="3:12" ht="21.75" customHeight="1" x14ac:dyDescent="0.25">
      <c r="C68" s="24">
        <v>60</v>
      </c>
      <c r="D68" s="25">
        <f>+요약!D70</f>
        <v>412</v>
      </c>
      <c r="E68" s="25">
        <f>+요약!E70</f>
        <v>0</v>
      </c>
      <c r="F68" s="25">
        <f>+요약!F70</f>
        <v>515</v>
      </c>
      <c r="G68" s="25">
        <f>+요약!G70</f>
        <v>228</v>
      </c>
      <c r="H68" s="25">
        <f>+요약!H70</f>
        <v>99</v>
      </c>
      <c r="I68" s="25">
        <f>+요약!I70</f>
        <v>196</v>
      </c>
      <c r="J68" s="25">
        <f>+요약!J70</f>
        <v>223</v>
      </c>
      <c r="K68" s="25">
        <f>+요약!K70</f>
        <v>263</v>
      </c>
      <c r="L68" s="25">
        <f>+요약!L70</f>
        <v>0</v>
      </c>
    </row>
    <row r="69" spans="3:12" ht="21.75" customHeight="1" x14ac:dyDescent="0.25">
      <c r="C69" s="24">
        <v>61</v>
      </c>
      <c r="D69" s="25">
        <f>+요약!D71</f>
        <v>217</v>
      </c>
      <c r="E69" s="25">
        <f>+요약!E71</f>
        <v>69</v>
      </c>
      <c r="F69" s="25">
        <f>+요약!F71</f>
        <v>179</v>
      </c>
      <c r="G69" s="25">
        <f>+요약!G71</f>
        <v>289</v>
      </c>
      <c r="H69" s="25">
        <f>+요약!H71</f>
        <v>87</v>
      </c>
      <c r="I69" s="25">
        <f>+요약!I71</f>
        <v>471</v>
      </c>
      <c r="J69" s="25">
        <f>+요약!J71</f>
        <v>318</v>
      </c>
      <c r="K69" s="25">
        <f>+요약!K71</f>
        <v>544</v>
      </c>
      <c r="L69" s="25">
        <f>+요약!L71</f>
        <v>0</v>
      </c>
    </row>
    <row r="70" spans="3:12" ht="21.75" customHeight="1" x14ac:dyDescent="0.25">
      <c r="C70" s="24">
        <v>62</v>
      </c>
      <c r="D70" s="25">
        <f>+요약!D72</f>
        <v>167</v>
      </c>
      <c r="E70" s="25">
        <f>+요약!E72</f>
        <v>62</v>
      </c>
      <c r="F70" s="25">
        <f>+요약!F72</f>
        <v>169</v>
      </c>
      <c r="G70" s="25">
        <f>+요약!G72</f>
        <v>564</v>
      </c>
      <c r="H70" s="25">
        <f>+요약!H72</f>
        <v>169</v>
      </c>
      <c r="I70" s="25">
        <f>+요약!I72</f>
        <v>228</v>
      </c>
      <c r="J70" s="25">
        <f>+요약!J72</f>
        <v>140</v>
      </c>
      <c r="K70" s="25">
        <f>+요약!K72</f>
        <v>532</v>
      </c>
      <c r="L70" s="25">
        <f>+요약!L72</f>
        <v>0</v>
      </c>
    </row>
    <row r="71" spans="3:12" ht="21.75" customHeight="1" x14ac:dyDescent="0.25">
      <c r="C71" s="24">
        <v>63</v>
      </c>
      <c r="D71" s="25">
        <f>+요약!D73</f>
        <v>187</v>
      </c>
      <c r="E71" s="25">
        <f>+요약!E73</f>
        <v>115</v>
      </c>
      <c r="F71" s="25">
        <f>+요약!F73</f>
        <v>216</v>
      </c>
      <c r="G71" s="25">
        <f>+요약!G73</f>
        <v>327</v>
      </c>
      <c r="H71" s="25">
        <f>+요약!H73</f>
        <v>73</v>
      </c>
      <c r="I71" s="25">
        <f>+요약!I73</f>
        <v>234</v>
      </c>
      <c r="J71" s="25">
        <f>+요약!J73</f>
        <v>81</v>
      </c>
      <c r="K71" s="25">
        <f>+요약!K73</f>
        <v>136</v>
      </c>
      <c r="L71" s="25">
        <f>+요약!L73</f>
        <v>0</v>
      </c>
    </row>
    <row r="72" spans="3:12" ht="21.75" customHeight="1" x14ac:dyDescent="0.25">
      <c r="C72" s="24">
        <v>64</v>
      </c>
      <c r="D72" s="25">
        <f>+요약!D74</f>
        <v>180</v>
      </c>
      <c r="E72" s="25">
        <f>+요약!E74</f>
        <v>130</v>
      </c>
      <c r="F72" s="25">
        <f>+요약!F74</f>
        <v>109</v>
      </c>
      <c r="G72" s="25">
        <f>+요약!G74</f>
        <v>131</v>
      </c>
      <c r="H72" s="25">
        <f>+요약!H74</f>
        <v>136</v>
      </c>
      <c r="I72" s="25">
        <f>+요약!I74</f>
        <v>554</v>
      </c>
      <c r="J72" s="25">
        <f>+요약!J74</f>
        <v>137</v>
      </c>
      <c r="K72" s="25">
        <f>+요약!K74</f>
        <v>138</v>
      </c>
      <c r="L72" s="25">
        <f>+요약!L74</f>
        <v>0</v>
      </c>
    </row>
    <row r="73" spans="3:12" ht="21.75" customHeight="1" x14ac:dyDescent="0.25">
      <c r="C73" s="24">
        <v>65</v>
      </c>
      <c r="D73" s="25">
        <f>+요약!D75</f>
        <v>246</v>
      </c>
      <c r="E73" s="25">
        <f>+요약!E75</f>
        <v>337</v>
      </c>
      <c r="F73" s="25">
        <f>+요약!F75</f>
        <v>152</v>
      </c>
      <c r="G73" s="25">
        <f>+요약!G75</f>
        <v>149</v>
      </c>
      <c r="H73" s="25">
        <f>+요약!H75</f>
        <v>400</v>
      </c>
      <c r="I73" s="25">
        <f>+요약!I75</f>
        <v>465</v>
      </c>
      <c r="J73" s="25">
        <f>+요약!J75</f>
        <v>120</v>
      </c>
      <c r="K73" s="25">
        <f>+요약!K75</f>
        <v>146</v>
      </c>
      <c r="L73" s="25">
        <f>+요약!L75</f>
        <v>0</v>
      </c>
    </row>
    <row r="74" spans="3:12" ht="21.75" customHeight="1" x14ac:dyDescent="0.25">
      <c r="C74" s="24">
        <v>66</v>
      </c>
      <c r="D74" s="25">
        <f>+요약!D76</f>
        <v>439</v>
      </c>
      <c r="E74" s="25">
        <f>+요약!E76</f>
        <v>214</v>
      </c>
      <c r="F74" s="25">
        <f>+요약!F76</f>
        <v>493</v>
      </c>
      <c r="G74" s="25">
        <f>+요약!G76</f>
        <v>80</v>
      </c>
      <c r="H74" s="25">
        <f>+요약!H76</f>
        <v>439</v>
      </c>
      <c r="I74" s="25">
        <f>+요약!I76</f>
        <v>259</v>
      </c>
      <c r="J74" s="25">
        <f>+요약!J76</f>
        <v>166</v>
      </c>
      <c r="K74" s="25">
        <f>+요약!K76</f>
        <v>118</v>
      </c>
      <c r="L74" s="25">
        <f>+요약!L76</f>
        <v>0</v>
      </c>
    </row>
    <row r="75" spans="3:12" ht="21.75" customHeight="1" x14ac:dyDescent="0.25">
      <c r="C75" s="24">
        <v>67</v>
      </c>
      <c r="D75" s="25">
        <f>+요약!D77</f>
        <v>248</v>
      </c>
      <c r="E75" s="25">
        <f>+요약!E77</f>
        <v>141</v>
      </c>
      <c r="F75" s="25">
        <f>+요약!F77</f>
        <v>388</v>
      </c>
      <c r="G75" s="25">
        <f>+요약!G77</f>
        <v>317</v>
      </c>
      <c r="H75" s="25">
        <f>+요약!H77</f>
        <v>355</v>
      </c>
      <c r="I75" s="25">
        <f>+요약!I77</f>
        <v>246</v>
      </c>
      <c r="J75" s="25">
        <f>+요약!J77</f>
        <v>251</v>
      </c>
      <c r="K75" s="25">
        <f>+요약!K77</f>
        <v>159</v>
      </c>
      <c r="L75" s="25">
        <f>+요약!L77</f>
        <v>0</v>
      </c>
    </row>
    <row r="76" spans="3:12" ht="21.75" customHeight="1" x14ac:dyDescent="0.25">
      <c r="C76" s="24">
        <v>68</v>
      </c>
      <c r="D76" s="25">
        <f>+요약!D78</f>
        <v>151</v>
      </c>
      <c r="E76" s="25">
        <f>+요약!E78</f>
        <v>82</v>
      </c>
      <c r="F76" s="25">
        <f>+요약!F78</f>
        <v>108</v>
      </c>
      <c r="G76" s="25">
        <f>+요약!G78</f>
        <v>258</v>
      </c>
      <c r="H76" s="25">
        <f>+요약!H78</f>
        <v>61</v>
      </c>
      <c r="I76" s="25">
        <f>+요약!I78</f>
        <v>526</v>
      </c>
      <c r="J76" s="25">
        <f>+요약!J78</f>
        <v>323</v>
      </c>
      <c r="K76" s="25">
        <f>+요약!K78</f>
        <v>502</v>
      </c>
      <c r="L76" s="25">
        <f>+요약!L78</f>
        <v>0</v>
      </c>
    </row>
    <row r="77" spans="3:12" ht="21.75" customHeight="1" x14ac:dyDescent="0.25">
      <c r="C77" s="24">
        <v>69</v>
      </c>
      <c r="D77" s="25">
        <f>+요약!D79</f>
        <v>173</v>
      </c>
      <c r="E77" s="25">
        <f>+요약!E79</f>
        <v>79</v>
      </c>
      <c r="F77" s="25">
        <f>+요약!F79</f>
        <v>92</v>
      </c>
      <c r="G77" s="25">
        <f>+요약!G79</f>
        <v>455</v>
      </c>
      <c r="H77" s="25">
        <f>+요약!H79</f>
        <v>78</v>
      </c>
      <c r="I77" s="25">
        <f>+요약!I79</f>
        <v>137</v>
      </c>
      <c r="J77" s="25">
        <f>+요약!J79</f>
        <v>21</v>
      </c>
      <c r="K77" s="25">
        <f>+요약!K79</f>
        <v>464</v>
      </c>
      <c r="L77" s="25">
        <f>+요약!L79</f>
        <v>0</v>
      </c>
    </row>
    <row r="78" spans="3:12" ht="21.75" customHeight="1" x14ac:dyDescent="0.25">
      <c r="C78" s="24">
        <v>70</v>
      </c>
      <c r="D78" s="25">
        <f>+요약!D80</f>
        <v>129</v>
      </c>
      <c r="E78" s="25">
        <f>+요약!E80</f>
        <v>146</v>
      </c>
      <c r="F78" s="25">
        <f>+요약!F80</f>
        <v>70</v>
      </c>
      <c r="G78" s="25">
        <f>+요약!G80</f>
        <v>300</v>
      </c>
      <c r="H78" s="25">
        <f>+요약!H80</f>
        <v>92</v>
      </c>
      <c r="I78" s="25">
        <f>+요약!I80</f>
        <v>192</v>
      </c>
      <c r="J78" s="25">
        <f>+요약!J80</f>
        <v>123</v>
      </c>
      <c r="K78" s="25">
        <f>+요약!K80</f>
        <v>94</v>
      </c>
      <c r="L78" s="25">
        <f>+요약!L80</f>
        <v>0</v>
      </c>
    </row>
    <row r="79" spans="3:12" ht="21.75" customHeight="1" x14ac:dyDescent="0.25">
      <c r="C79" s="24">
        <v>71</v>
      </c>
      <c r="D79" s="25">
        <f>+요약!D81</f>
        <v>156</v>
      </c>
      <c r="E79" s="25">
        <f>+요약!E81</f>
        <v>132</v>
      </c>
      <c r="F79" s="25">
        <f>+요약!F81</f>
        <v>100</v>
      </c>
      <c r="G79" s="25">
        <f>+요약!G81</f>
        <v>114</v>
      </c>
      <c r="H79" s="25">
        <f>+요약!H81</f>
        <v>134</v>
      </c>
      <c r="I79" s="25">
        <f>+요약!I81</f>
        <v>460</v>
      </c>
      <c r="J79" s="25">
        <f>+요약!J81</f>
        <v>148</v>
      </c>
      <c r="K79" s="25">
        <f>+요약!K81</f>
        <v>139</v>
      </c>
      <c r="L79" s="25">
        <f>+요약!L81</f>
        <v>0</v>
      </c>
    </row>
    <row r="80" spans="3:12" ht="21.75" customHeight="1" x14ac:dyDescent="0.25">
      <c r="C80" s="24">
        <v>72</v>
      </c>
      <c r="D80" s="25">
        <f>+요약!D82</f>
        <v>211</v>
      </c>
      <c r="E80" s="25">
        <f>+요약!E82</f>
        <v>543</v>
      </c>
      <c r="F80" s="25">
        <f>+요약!F82</f>
        <v>134</v>
      </c>
      <c r="G80" s="25">
        <f>+요약!G82</f>
        <v>106</v>
      </c>
      <c r="H80" s="25">
        <f>+요약!H82</f>
        <v>450</v>
      </c>
      <c r="I80" s="25">
        <f>+요약!I82</f>
        <v>447</v>
      </c>
      <c r="J80" s="25">
        <f>+요약!J82</f>
        <v>81</v>
      </c>
      <c r="K80" s="25">
        <f>+요약!K82</f>
        <v>135</v>
      </c>
      <c r="L80" s="25">
        <f>+요약!L82</f>
        <v>0</v>
      </c>
    </row>
    <row r="81" spans="3:12" ht="21.75" customHeight="1" x14ac:dyDescent="0.25">
      <c r="C81" s="24">
        <v>73</v>
      </c>
      <c r="D81" s="25">
        <f>+요약!D83</f>
        <v>278</v>
      </c>
      <c r="E81" s="25">
        <f>+요약!E83</f>
        <v>353</v>
      </c>
      <c r="F81" s="25">
        <f>+요약!F83</f>
        <v>316</v>
      </c>
      <c r="G81" s="25">
        <f>+요약!G83</f>
        <v>94</v>
      </c>
      <c r="H81" s="25">
        <f>+요약!H83</f>
        <v>510</v>
      </c>
      <c r="I81" s="25">
        <f>+요약!I83</f>
        <v>44</v>
      </c>
      <c r="J81" s="25">
        <f>+요약!J83</f>
        <v>400</v>
      </c>
      <c r="K81" s="25">
        <f>+요약!K83</f>
        <v>250</v>
      </c>
      <c r="L81" s="25">
        <f>+요약!L83</f>
        <v>0</v>
      </c>
    </row>
    <row r="82" spans="3:12" ht="21.75" customHeight="1" x14ac:dyDescent="0.25">
      <c r="C82" s="24">
        <v>74</v>
      </c>
      <c r="D82" s="25">
        <f>+요약!D84</f>
        <v>291</v>
      </c>
      <c r="E82" s="25">
        <f>+요약!E84</f>
        <v>150</v>
      </c>
      <c r="F82" s="25">
        <f>+요약!F84</f>
        <v>302</v>
      </c>
      <c r="G82" s="25">
        <f>+요약!G84</f>
        <v>111</v>
      </c>
      <c r="H82" s="25">
        <f>+요약!H84</f>
        <v>372</v>
      </c>
      <c r="I82" s="25">
        <f>+요약!I84</f>
        <v>130</v>
      </c>
      <c r="J82" s="25">
        <f>+요약!J84</f>
        <v>408</v>
      </c>
      <c r="K82" s="25">
        <f>+요약!K84</f>
        <v>193</v>
      </c>
      <c r="L82" s="25">
        <f>+요약!L84</f>
        <v>0</v>
      </c>
    </row>
    <row r="83" spans="3:12" ht="21.75" customHeight="1" x14ac:dyDescent="0.25">
      <c r="C83" s="24">
        <v>75</v>
      </c>
      <c r="D83" s="25">
        <f>+요약!D85</f>
        <v>195</v>
      </c>
      <c r="E83" s="25">
        <f>+요약!E85</f>
        <v>87</v>
      </c>
      <c r="F83" s="25">
        <f>+요약!F85</f>
        <v>96</v>
      </c>
      <c r="G83" s="25">
        <f>+요약!G85</f>
        <v>108</v>
      </c>
      <c r="H83" s="25">
        <f>+요약!H85</f>
        <v>82</v>
      </c>
      <c r="I83" s="25">
        <f>+요약!I85</f>
        <v>179</v>
      </c>
      <c r="J83" s="25">
        <f>+요약!J85</f>
        <v>384</v>
      </c>
      <c r="K83" s="25">
        <f>+요약!K85</f>
        <v>602</v>
      </c>
      <c r="L83" s="25">
        <f>+요약!L85</f>
        <v>0</v>
      </c>
    </row>
    <row r="84" spans="3:12" ht="21.75" customHeight="1" x14ac:dyDescent="0.25">
      <c r="C84" s="24">
        <v>76</v>
      </c>
      <c r="D84" s="25">
        <f>+요약!D86</f>
        <v>172</v>
      </c>
      <c r="E84" s="25">
        <f>+요약!E86</f>
        <v>241</v>
      </c>
      <c r="F84" s="25">
        <f>+요약!F86</f>
        <v>63</v>
      </c>
      <c r="G84" s="25">
        <f>+요약!G86</f>
        <v>604</v>
      </c>
      <c r="H84" s="25">
        <f>+요약!H86</f>
        <v>124</v>
      </c>
      <c r="I84" s="25">
        <f>+요약!I86</f>
        <v>152</v>
      </c>
      <c r="J84" s="25">
        <f>+요약!J86</f>
        <v>147</v>
      </c>
      <c r="K84" s="25">
        <f>+요약!K86</f>
        <v>482</v>
      </c>
      <c r="L84" s="25">
        <f>+요약!L86</f>
        <v>0</v>
      </c>
    </row>
    <row r="85" spans="3:12" ht="21.75" customHeight="1" x14ac:dyDescent="0.25">
      <c r="C85" s="24">
        <v>77</v>
      </c>
      <c r="D85" s="25">
        <f>+요약!D87</f>
        <v>164</v>
      </c>
      <c r="E85" s="25">
        <f>+요약!E87</f>
        <v>238</v>
      </c>
      <c r="F85" s="25">
        <f>+요약!F87</f>
        <v>102</v>
      </c>
      <c r="G85" s="25">
        <f>+요약!G87</f>
        <v>456</v>
      </c>
      <c r="H85" s="25">
        <f>+요약!H87</f>
        <v>70</v>
      </c>
      <c r="I85" s="25">
        <f>+요약!I87</f>
        <v>213</v>
      </c>
      <c r="J85" s="25">
        <f>+요약!J87</f>
        <v>87</v>
      </c>
      <c r="K85" s="25">
        <f>+요약!K87</f>
        <v>161</v>
      </c>
      <c r="L85" s="25">
        <f>+요약!L87</f>
        <v>0</v>
      </c>
    </row>
    <row r="86" spans="3:12" ht="21.75" customHeight="1" x14ac:dyDescent="0.25">
      <c r="C86" s="24">
        <v>78</v>
      </c>
      <c r="D86" s="25">
        <f>+요약!D88</f>
        <v>247</v>
      </c>
      <c r="E86" s="25">
        <f>+요약!E88</f>
        <v>251</v>
      </c>
      <c r="F86" s="25">
        <f>+요약!F88</f>
        <v>133</v>
      </c>
      <c r="G86" s="25">
        <f>+요약!G88</f>
        <v>127</v>
      </c>
      <c r="H86" s="25">
        <f>+요약!H88</f>
        <v>192</v>
      </c>
      <c r="I86" s="25">
        <f>+요약!I88</f>
        <v>575</v>
      </c>
      <c r="J86" s="25">
        <f>+요약!J88</f>
        <v>122</v>
      </c>
      <c r="K86" s="25">
        <f>+요약!K88</f>
        <v>188</v>
      </c>
      <c r="L86" s="25">
        <f>+요약!L88</f>
        <v>0</v>
      </c>
    </row>
    <row r="87" spans="3:12" ht="21.75" customHeight="1" x14ac:dyDescent="0.25">
      <c r="C87" s="24">
        <v>79</v>
      </c>
      <c r="D87" s="25">
        <f>+요약!D89</f>
        <v>415</v>
      </c>
      <c r="E87" s="25">
        <f>+요약!E89</f>
        <v>656</v>
      </c>
      <c r="F87" s="25">
        <f>+요약!F89</f>
        <v>119</v>
      </c>
      <c r="G87" s="25">
        <f>+요약!G89</f>
        <v>130</v>
      </c>
      <c r="H87" s="25">
        <f>+요약!H89</f>
        <v>524</v>
      </c>
      <c r="I87" s="25">
        <f>+요약!I89</f>
        <v>417</v>
      </c>
      <c r="J87" s="25">
        <f>+요약!J89</f>
        <v>126</v>
      </c>
      <c r="K87" s="25">
        <f>+요약!K89</f>
        <v>236</v>
      </c>
      <c r="L87" s="25">
        <f>+요약!L89</f>
        <v>0</v>
      </c>
    </row>
    <row r="88" spans="3:12" ht="21.75" customHeight="1" x14ac:dyDescent="0.25">
      <c r="C88" s="24">
        <v>80</v>
      </c>
      <c r="D88" s="25">
        <f>+요약!D90</f>
        <v>250</v>
      </c>
      <c r="E88" s="25">
        <f>+요약!E90</f>
        <v>473</v>
      </c>
      <c r="F88" s="25">
        <f>+요약!F90</f>
        <v>358</v>
      </c>
      <c r="G88" s="25">
        <f>+요약!G90</f>
        <v>123</v>
      </c>
      <c r="H88" s="25">
        <f>+요약!H90</f>
        <v>445</v>
      </c>
      <c r="I88" s="25">
        <f>+요약!I90</f>
        <v>164</v>
      </c>
      <c r="J88" s="25">
        <f>+요약!J90</f>
        <v>194</v>
      </c>
      <c r="K88" s="25">
        <f>+요약!K90</f>
        <v>154</v>
      </c>
      <c r="L88" s="25">
        <f>+요약!L90</f>
        <v>0</v>
      </c>
    </row>
    <row r="89" spans="3:12" ht="21.75" customHeight="1" x14ac:dyDescent="0.25">
      <c r="C89" s="24">
        <v>81</v>
      </c>
      <c r="D89" s="25">
        <f>+요약!D91</f>
        <v>263</v>
      </c>
      <c r="E89" s="25">
        <f>+요약!E91</f>
        <v>220</v>
      </c>
      <c r="F89" s="25">
        <f>+요약!F91</f>
        <v>376</v>
      </c>
      <c r="G89" s="25">
        <f>+요약!G91</f>
        <v>128</v>
      </c>
      <c r="H89" s="25">
        <f>+요약!H91</f>
        <v>0</v>
      </c>
      <c r="I89" s="25">
        <f>+요약!I91</f>
        <v>197</v>
      </c>
      <c r="J89" s="25">
        <f>+요약!J91</f>
        <v>497</v>
      </c>
      <c r="K89" s="25">
        <f>+요약!K91</f>
        <v>451</v>
      </c>
      <c r="L89" s="25">
        <f>+요약!L91</f>
        <v>0</v>
      </c>
    </row>
    <row r="90" spans="3:12" ht="21.75" customHeight="1" x14ac:dyDescent="0.25">
      <c r="C90" s="24">
        <v>82</v>
      </c>
      <c r="D90" s="25">
        <f>+요약!D92</f>
        <v>219</v>
      </c>
      <c r="E90" s="25">
        <f>+요약!E92</f>
        <v>256</v>
      </c>
      <c r="F90" s="25">
        <f>+요약!F92</f>
        <v>130</v>
      </c>
      <c r="G90" s="25">
        <f>+요약!G92</f>
        <v>219</v>
      </c>
      <c r="H90" s="25">
        <f>+요약!H92</f>
        <v>194</v>
      </c>
      <c r="I90" s="25">
        <f>+요약!I92</f>
        <v>168</v>
      </c>
      <c r="J90" s="25">
        <f>+요약!J92</f>
        <v>437</v>
      </c>
      <c r="K90" s="25">
        <f>+요약!K92</f>
        <v>619</v>
      </c>
      <c r="L90" s="25">
        <f>+요약!L92</f>
        <v>0</v>
      </c>
    </row>
    <row r="91" spans="3:12" ht="21.75" customHeight="1" x14ac:dyDescent="0.25">
      <c r="C91" s="24">
        <v>83</v>
      </c>
      <c r="D91" s="25">
        <f>+요약!D93</f>
        <v>252</v>
      </c>
      <c r="E91" s="25">
        <f>+요약!E93</f>
        <v>216</v>
      </c>
      <c r="F91" s="25">
        <f>+요약!F93</f>
        <v>166</v>
      </c>
      <c r="G91" s="25">
        <f>+요약!G93</f>
        <v>665</v>
      </c>
      <c r="H91" s="25">
        <f>+요약!H93</f>
        <v>91</v>
      </c>
      <c r="I91" s="25">
        <f>+요약!I93</f>
        <v>185</v>
      </c>
      <c r="J91" s="25">
        <f>+요약!J93</f>
        <v>197</v>
      </c>
      <c r="K91" s="25">
        <f>+요약!K93</f>
        <v>542</v>
      </c>
      <c r="L91" s="25">
        <f>+요약!L93</f>
        <v>0</v>
      </c>
    </row>
    <row r="92" spans="3:12" ht="21.75" customHeight="1" x14ac:dyDescent="0.25">
      <c r="C92" s="24">
        <v>84</v>
      </c>
      <c r="D92" s="25">
        <f>+요약!D94</f>
        <v>278</v>
      </c>
      <c r="E92" s="25">
        <f>+요약!E94</f>
        <v>338</v>
      </c>
      <c r="F92" s="25">
        <f>+요약!F94</f>
        <v>201</v>
      </c>
      <c r="G92" s="25">
        <f>+요약!G94</f>
        <v>528</v>
      </c>
      <c r="H92" s="25">
        <f>+요약!H94</f>
        <v>110</v>
      </c>
      <c r="I92" s="25">
        <f>+요약!I94</f>
        <v>232</v>
      </c>
      <c r="J92" s="25">
        <f>+요약!J94</f>
        <v>175</v>
      </c>
      <c r="K92" s="25">
        <f>+요약!K94</f>
        <v>263</v>
      </c>
      <c r="L92" s="25">
        <f>+요약!L94</f>
        <v>0</v>
      </c>
    </row>
    <row r="93" spans="3:12" ht="21.75" customHeight="1" x14ac:dyDescent="0.25">
      <c r="C93" s="24">
        <v>85</v>
      </c>
      <c r="D93" s="25">
        <f>+요약!D95</f>
        <v>293</v>
      </c>
      <c r="E93" s="25">
        <f>+요약!E95</f>
        <v>354</v>
      </c>
      <c r="F93" s="25">
        <f>+요약!F95</f>
        <v>185</v>
      </c>
      <c r="G93" s="25">
        <f>+요약!G95</f>
        <v>0</v>
      </c>
      <c r="H93" s="25">
        <f>+요약!H95</f>
        <v>124</v>
      </c>
      <c r="I93" s="25">
        <f>+요약!I95</f>
        <v>739</v>
      </c>
      <c r="J93" s="25">
        <f>+요약!J95</f>
        <v>288</v>
      </c>
      <c r="K93" s="25">
        <f>+요약!K95</f>
        <v>234</v>
      </c>
      <c r="L93" s="25">
        <f>+요약!L95</f>
        <v>0</v>
      </c>
    </row>
    <row r="94" spans="3:12" ht="21.75" customHeight="1" x14ac:dyDescent="0.25">
      <c r="C94" s="24">
        <v>86</v>
      </c>
      <c r="D94" s="25">
        <f>+요약!D96</f>
        <v>0</v>
      </c>
      <c r="E94" s="25">
        <f>+요약!E96</f>
        <v>760</v>
      </c>
      <c r="F94" s="25">
        <f>+요약!F96</f>
        <v>257</v>
      </c>
      <c r="G94" s="25">
        <f>+요약!G96</f>
        <v>114</v>
      </c>
      <c r="H94" s="25">
        <f>+요약!H96</f>
        <v>394</v>
      </c>
      <c r="I94" s="25">
        <f>+요약!I96</f>
        <v>587</v>
      </c>
      <c r="J94" s="25">
        <f>+요약!J96</f>
        <v>211</v>
      </c>
      <c r="K94" s="25">
        <f>+요약!K96</f>
        <v>332</v>
      </c>
      <c r="L94" s="25">
        <f>+요약!L96</f>
        <v>0</v>
      </c>
    </row>
    <row r="95" spans="3:12" ht="21.75" customHeight="1" x14ac:dyDescent="0.25">
      <c r="C95" s="24">
        <v>87</v>
      </c>
      <c r="D95" s="25">
        <f>+요약!D97</f>
        <v>563</v>
      </c>
      <c r="E95" s="25">
        <f>+요약!E97</f>
        <v>639</v>
      </c>
      <c r="F95" s="25">
        <f>+요약!F97</f>
        <v>578</v>
      </c>
      <c r="G95" s="25">
        <f>+요약!G97</f>
        <v>275</v>
      </c>
      <c r="H95" s="25">
        <f>+요약!H97</f>
        <v>469</v>
      </c>
      <c r="I95" s="25">
        <f>+요약!I97</f>
        <v>293</v>
      </c>
      <c r="J95" s="25">
        <f>+요약!J97</f>
        <v>264</v>
      </c>
      <c r="K95" s="25">
        <f>+요약!K97</f>
        <v>265</v>
      </c>
      <c r="L95" s="25">
        <f>+요약!L97</f>
        <v>0</v>
      </c>
    </row>
    <row r="96" spans="3:12" ht="21.75" customHeight="1" x14ac:dyDescent="0.25">
      <c r="C96" s="24">
        <v>88</v>
      </c>
      <c r="D96" s="25">
        <f>+요약!D98</f>
        <v>427</v>
      </c>
      <c r="E96" s="25">
        <f>+요약!E98</f>
        <v>0</v>
      </c>
      <c r="F96" s="25">
        <f>+요약!F98</f>
        <v>432</v>
      </c>
      <c r="G96" s="25">
        <f>+요약!G98</f>
        <v>181</v>
      </c>
      <c r="H96" s="25">
        <f>+요약!H98</f>
        <v>110</v>
      </c>
      <c r="I96" s="25">
        <f>+요약!I98</f>
        <v>271</v>
      </c>
      <c r="J96" s="25">
        <f>+요약!J98</f>
        <v>695</v>
      </c>
      <c r="K96" s="25">
        <f>+요약!K98</f>
        <v>370</v>
      </c>
      <c r="L96" s="25">
        <f>+요약!L98</f>
        <v>0</v>
      </c>
    </row>
    <row r="97" spans="3:12" ht="21.75" customHeight="1" x14ac:dyDescent="0.25">
      <c r="C97" s="24">
        <v>89</v>
      </c>
      <c r="D97" s="25">
        <f>+요약!D99</f>
        <v>158</v>
      </c>
      <c r="E97" s="25">
        <f>+요약!E99</f>
        <v>0</v>
      </c>
      <c r="F97" s="25">
        <f>+요약!F99</f>
        <v>305</v>
      </c>
      <c r="G97" s="25">
        <f>+요약!G99</f>
        <v>298</v>
      </c>
      <c r="H97" s="25">
        <f>+요약!H99</f>
        <v>112</v>
      </c>
      <c r="I97" s="25">
        <f>+요약!I99</f>
        <v>280</v>
      </c>
      <c r="J97" s="25">
        <f>+요약!J99</f>
        <v>649</v>
      </c>
      <c r="K97" s="25">
        <f>+요약!K99</f>
        <v>690</v>
      </c>
      <c r="L97" s="25">
        <f>+요약!L99</f>
        <v>0</v>
      </c>
    </row>
    <row r="98" spans="3:12" ht="21.75" customHeight="1" x14ac:dyDescent="0.25">
      <c r="C98" s="24">
        <v>90</v>
      </c>
      <c r="D98" s="25">
        <f>+요약!D100</f>
        <v>176</v>
      </c>
      <c r="E98" s="25">
        <f>+요약!E100</f>
        <v>0</v>
      </c>
      <c r="F98" s="25">
        <f>+요약!F100</f>
        <v>332</v>
      </c>
      <c r="G98" s="25">
        <f>+요약!G100</f>
        <v>690</v>
      </c>
      <c r="H98" s="25">
        <f>+요약!H100</f>
        <v>192</v>
      </c>
      <c r="I98" s="25">
        <f>+요약!I100</f>
        <v>382</v>
      </c>
      <c r="J98" s="25">
        <f>+요약!J100</f>
        <v>314</v>
      </c>
      <c r="K98" s="25">
        <f>+요약!K100</f>
        <v>713</v>
      </c>
      <c r="L98" s="25">
        <f>+요약!L100</f>
        <v>0</v>
      </c>
    </row>
    <row r="99" spans="3:12" ht="21.75" customHeight="1" x14ac:dyDescent="0.25">
      <c r="C99" s="24">
        <v>91</v>
      </c>
      <c r="D99" s="25">
        <f>+요약!D101</f>
        <v>178</v>
      </c>
      <c r="E99" s="25">
        <f>+요약!E101</f>
        <v>0</v>
      </c>
      <c r="F99" s="25">
        <f>+요약!F101</f>
        <v>633</v>
      </c>
      <c r="G99" s="25">
        <f>+요약!G101</f>
        <v>660</v>
      </c>
      <c r="H99" s="25">
        <f>+요약!H101</f>
        <v>134</v>
      </c>
      <c r="I99" s="25">
        <f>+요약!I101</f>
        <v>586</v>
      </c>
      <c r="J99" s="25">
        <f>+요약!J101</f>
        <v>248</v>
      </c>
      <c r="K99" s="25">
        <f>+요약!K101</f>
        <v>799</v>
      </c>
      <c r="L99" s="25">
        <f>+요약!L101</f>
        <v>0</v>
      </c>
    </row>
    <row r="100" spans="3:12" ht="21.75" customHeight="1" x14ac:dyDescent="0.25">
      <c r="C100" s="24">
        <v>92</v>
      </c>
      <c r="D100" s="25">
        <f>+요약!D102</f>
        <v>169</v>
      </c>
      <c r="E100" s="25">
        <f>+요약!E102</f>
        <v>0</v>
      </c>
      <c r="F100" s="25">
        <f>+요약!F102</f>
        <v>503</v>
      </c>
      <c r="G100" s="25">
        <f>+요약!G102</f>
        <v>242</v>
      </c>
      <c r="H100" s="25">
        <f>+요약!H102</f>
        <v>277</v>
      </c>
      <c r="I100" s="25">
        <f>+요약!I102</f>
        <v>1007</v>
      </c>
      <c r="J100" s="25">
        <f>+요약!J102</f>
        <v>262</v>
      </c>
      <c r="K100" s="25">
        <f>+요약!K102</f>
        <v>399</v>
      </c>
      <c r="L100" s="25">
        <f>+요약!L102</f>
        <v>0</v>
      </c>
    </row>
    <row r="101" spans="3:12" ht="21.75" customHeight="1" x14ac:dyDescent="0.25">
      <c r="C101" s="24">
        <v>93</v>
      </c>
      <c r="D101" s="25">
        <f>+요약!D103</f>
        <v>220</v>
      </c>
      <c r="E101" s="25">
        <f>+요약!E103</f>
        <v>0</v>
      </c>
      <c r="F101" s="25">
        <f>+요약!F103</f>
        <v>539</v>
      </c>
      <c r="G101" s="25">
        <f>+요약!G103</f>
        <v>285</v>
      </c>
      <c r="H101" s="25">
        <f>+요약!H103</f>
        <v>457</v>
      </c>
      <c r="I101" s="25">
        <f>+요약!I103</f>
        <v>929</v>
      </c>
      <c r="J101" s="25">
        <f>+요약!J103</f>
        <v>364</v>
      </c>
      <c r="K101" s="25">
        <f>+요약!K103</f>
        <v>421</v>
      </c>
      <c r="L101" s="25">
        <f>+요약!L103</f>
        <v>0</v>
      </c>
    </row>
    <row r="102" spans="3:12" ht="21.75" customHeight="1" x14ac:dyDescent="0.25">
      <c r="C102" s="24">
        <v>94</v>
      </c>
      <c r="D102" s="25">
        <f>+요약!D104</f>
        <v>676</v>
      </c>
      <c r="E102" s="25">
        <f>+요약!E104</f>
        <v>0</v>
      </c>
      <c r="F102" s="25">
        <f>+요약!F104</f>
        <v>0</v>
      </c>
      <c r="G102" s="25">
        <f>+요약!G104</f>
        <v>718</v>
      </c>
      <c r="H102" s="25">
        <f>+요약!H104</f>
        <v>402</v>
      </c>
      <c r="I102" s="25">
        <f>+요약!I104</f>
        <v>0</v>
      </c>
      <c r="J102" s="25">
        <f>+요약!J104</f>
        <v>361</v>
      </c>
      <c r="K102" s="25">
        <f>+요약!K104</f>
        <v>564</v>
      </c>
      <c r="L102" s="25">
        <f>+요약!L104</f>
        <v>0</v>
      </c>
    </row>
    <row r="103" spans="3:12" ht="21.75" customHeight="1" x14ac:dyDescent="0.25">
      <c r="C103" s="24">
        <v>95</v>
      </c>
      <c r="D103" s="25">
        <f>+요약!D105</f>
        <v>588</v>
      </c>
      <c r="E103" s="25">
        <f>+요약!E105</f>
        <v>0</v>
      </c>
      <c r="F103" s="25">
        <f>+요약!F105</f>
        <v>1215</v>
      </c>
      <c r="G103" s="25">
        <f>+요약!G105</f>
        <v>240</v>
      </c>
      <c r="H103" s="25">
        <f>+요약!H105</f>
        <v>168</v>
      </c>
      <c r="I103" s="25">
        <f>+요약!I105</f>
        <v>0</v>
      </c>
      <c r="J103" s="25">
        <f>+요약!J105</f>
        <v>701</v>
      </c>
      <c r="K103" s="25">
        <f>+요약!K105</f>
        <v>689</v>
      </c>
      <c r="L103" s="25">
        <f>+요약!L105</f>
        <v>0</v>
      </c>
    </row>
    <row r="104" spans="3:12" ht="21.75" customHeight="1" x14ac:dyDescent="0.25">
      <c r="C104" s="24">
        <v>96</v>
      </c>
      <c r="D104" s="25">
        <f>+요약!D106</f>
        <v>268</v>
      </c>
      <c r="E104" s="25">
        <f>+요약!E106</f>
        <v>0</v>
      </c>
      <c r="F104" s="25">
        <f>+요약!F106</f>
        <v>121</v>
      </c>
      <c r="G104" s="25">
        <f>+요약!G106</f>
        <v>403</v>
      </c>
      <c r="H104" s="25">
        <f>+요약!H106</f>
        <v>164</v>
      </c>
      <c r="I104" s="25">
        <f>+요약!I106</f>
        <v>0</v>
      </c>
      <c r="J104" s="25">
        <f>+요약!J106</f>
        <v>786</v>
      </c>
      <c r="K104" s="25">
        <f>+요약!K106</f>
        <v>772</v>
      </c>
      <c r="L104" s="25">
        <f>+요약!L106</f>
        <v>0</v>
      </c>
    </row>
    <row r="105" spans="3:12" ht="21.75" customHeight="1" x14ac:dyDescent="0.25">
      <c r="C105" s="24">
        <v>97</v>
      </c>
      <c r="D105" s="25">
        <f>+요약!D107</f>
        <v>300</v>
      </c>
      <c r="E105" s="25">
        <f>+요약!E107</f>
        <v>0</v>
      </c>
      <c r="F105" s="25">
        <f>+요약!F107</f>
        <v>239</v>
      </c>
      <c r="G105" s="25">
        <f>+요약!G107</f>
        <v>858</v>
      </c>
      <c r="H105" s="25">
        <f>+요약!H107</f>
        <v>241</v>
      </c>
      <c r="I105" s="25">
        <f>+요약!I107</f>
        <v>0</v>
      </c>
      <c r="J105" s="25">
        <f>+요약!J107</f>
        <v>0</v>
      </c>
      <c r="K105" s="25">
        <f>+요약!K107</f>
        <v>1190</v>
      </c>
      <c r="L105" s="25">
        <f>+요약!L107</f>
        <v>0</v>
      </c>
    </row>
    <row r="106" spans="3:12" ht="21.75" customHeight="1" x14ac:dyDescent="0.25">
      <c r="C106" s="24">
        <v>98</v>
      </c>
      <c r="D106" s="25">
        <f>+요약!D108</f>
        <v>289</v>
      </c>
      <c r="E106" s="25">
        <f>+요약!E108</f>
        <v>0</v>
      </c>
      <c r="F106" s="25">
        <f>+요약!F108</f>
        <v>390</v>
      </c>
      <c r="G106" s="25">
        <f>+요약!G108</f>
        <v>784</v>
      </c>
      <c r="H106" s="25">
        <f>+요약!H108</f>
        <v>212</v>
      </c>
      <c r="I106" s="25">
        <f>+요약!I108</f>
        <v>0</v>
      </c>
      <c r="J106" s="25">
        <f>+요약!J108</f>
        <v>0</v>
      </c>
      <c r="K106" s="25">
        <f>+요약!K108</f>
        <v>0</v>
      </c>
      <c r="L106" s="25">
        <f>+요약!L108</f>
        <v>0</v>
      </c>
    </row>
    <row r="107" spans="3:12" ht="21.75" customHeight="1" x14ac:dyDescent="0.25">
      <c r="C107" s="24">
        <v>99</v>
      </c>
      <c r="D107" s="25">
        <f>+요약!D109</f>
        <v>409</v>
      </c>
      <c r="E107" s="25">
        <f>+요약!E109</f>
        <v>0</v>
      </c>
      <c r="F107" s="25">
        <f>+요약!F109</f>
        <v>400</v>
      </c>
      <c r="G107" s="25">
        <f>+요약!G109</f>
        <v>1132</v>
      </c>
      <c r="H107" s="25">
        <f>+요약!H109</f>
        <v>278</v>
      </c>
      <c r="I107" s="25">
        <f>+요약!I109</f>
        <v>0</v>
      </c>
      <c r="J107" s="25">
        <f>+요약!J109</f>
        <v>0</v>
      </c>
      <c r="K107" s="25">
        <f>+요약!K109</f>
        <v>0</v>
      </c>
      <c r="L107" s="25">
        <f>+요약!L109</f>
        <v>0</v>
      </c>
    </row>
    <row r="108" spans="3:12" ht="21.75" customHeight="1" x14ac:dyDescent="0.25">
      <c r="C108" s="24">
        <v>100</v>
      </c>
      <c r="D108" s="25">
        <f>+요약!D110</f>
        <v>399</v>
      </c>
      <c r="E108" s="25">
        <f>+요약!E110</f>
        <v>0</v>
      </c>
      <c r="F108" s="25">
        <f>+요약!F110</f>
        <v>493</v>
      </c>
      <c r="G108" s="25">
        <f>+요약!G110</f>
        <v>0</v>
      </c>
      <c r="H108" s="25">
        <f>+요약!H110</f>
        <v>799</v>
      </c>
      <c r="I108" s="25">
        <f>+요약!I110</f>
        <v>0</v>
      </c>
      <c r="J108" s="25">
        <f>+요약!J110</f>
        <v>0</v>
      </c>
      <c r="K108" s="25">
        <f>+요약!K110</f>
        <v>0</v>
      </c>
      <c r="L108" s="25">
        <f>+요약!L110</f>
        <v>0</v>
      </c>
    </row>
    <row r="109" spans="3:12" ht="21.75" customHeight="1" x14ac:dyDescent="0.25">
      <c r="C109" s="24">
        <v>101</v>
      </c>
      <c r="D109" s="25">
        <f>+요약!D111</f>
        <v>1151</v>
      </c>
      <c r="E109" s="25">
        <f>+요약!E111</f>
        <v>0</v>
      </c>
      <c r="F109" s="25">
        <f>+요약!F111</f>
        <v>1009</v>
      </c>
      <c r="G109" s="25">
        <f>+요약!G111</f>
        <v>0</v>
      </c>
      <c r="H109" s="25">
        <f>+요약!H111</f>
        <v>816</v>
      </c>
      <c r="I109" s="25">
        <f>+요약!I111</f>
        <v>0</v>
      </c>
      <c r="J109" s="25">
        <f>+요약!J111</f>
        <v>0</v>
      </c>
      <c r="K109" s="25">
        <f>+요약!K111</f>
        <v>0</v>
      </c>
      <c r="L109" s="25">
        <f>+요약!L111</f>
        <v>0</v>
      </c>
    </row>
    <row r="110" spans="3:12" ht="21.75" customHeight="1" x14ac:dyDescent="0.25">
      <c r="C110" s="24">
        <v>102</v>
      </c>
      <c r="D110" s="25">
        <f>+요약!D112</f>
        <v>834</v>
      </c>
      <c r="E110" s="25">
        <f>+요약!E112</f>
        <v>0</v>
      </c>
      <c r="F110" s="25">
        <f>+요약!F112</f>
        <v>1089</v>
      </c>
      <c r="G110" s="25">
        <f>+요약!G112</f>
        <v>0</v>
      </c>
      <c r="H110" s="25">
        <f>+요약!H112</f>
        <v>0</v>
      </c>
      <c r="I110" s="25">
        <f>+요약!I112</f>
        <v>0</v>
      </c>
      <c r="J110" s="25">
        <f>+요약!J112</f>
        <v>0</v>
      </c>
      <c r="K110" s="25">
        <f>+요약!K112</f>
        <v>0</v>
      </c>
      <c r="L110" s="25">
        <f>+요약!L112</f>
        <v>0</v>
      </c>
    </row>
    <row r="111" spans="3:12" ht="21.75" customHeight="1" x14ac:dyDescent="0.25">
      <c r="C111" s="24">
        <v>103</v>
      </c>
      <c r="D111" s="25">
        <f>+요약!D113</f>
        <v>293</v>
      </c>
      <c r="E111" s="25">
        <f>+요약!E113</f>
        <v>0</v>
      </c>
      <c r="F111" s="25">
        <f>+요약!F113</f>
        <v>0</v>
      </c>
      <c r="G111" s="25">
        <f>+요약!G113</f>
        <v>0</v>
      </c>
      <c r="H111" s="25">
        <f>+요약!H113</f>
        <v>0</v>
      </c>
      <c r="I111" s="25">
        <f>+요약!I113</f>
        <v>0</v>
      </c>
      <c r="J111" s="25">
        <f>+요약!J113</f>
        <v>0</v>
      </c>
      <c r="K111" s="25">
        <f>+요약!K113</f>
        <v>0</v>
      </c>
      <c r="L111" s="25">
        <f>+요약!L113</f>
        <v>0</v>
      </c>
    </row>
    <row r="112" spans="3:12" ht="21.75" customHeight="1" x14ac:dyDescent="0.25">
      <c r="C112" s="24">
        <v>104</v>
      </c>
      <c r="D112" s="25">
        <f>+요약!D114</f>
        <v>420</v>
      </c>
      <c r="E112" s="25">
        <f>+요약!E114</f>
        <v>0</v>
      </c>
      <c r="F112" s="25">
        <f>+요약!F114</f>
        <v>0</v>
      </c>
      <c r="G112" s="25">
        <f>+요약!G114</f>
        <v>0</v>
      </c>
      <c r="H112" s="25">
        <f>+요약!H114</f>
        <v>0</v>
      </c>
      <c r="I112" s="25">
        <f>+요약!I114</f>
        <v>0</v>
      </c>
      <c r="J112" s="25">
        <f>+요약!J114</f>
        <v>0</v>
      </c>
      <c r="K112" s="25">
        <f>+요약!K114</f>
        <v>0</v>
      </c>
      <c r="L112" s="25">
        <f>+요약!L114</f>
        <v>0</v>
      </c>
    </row>
    <row r="113" spans="3:12" ht="21.75" customHeight="1" x14ac:dyDescent="0.25">
      <c r="C113" s="24">
        <v>105</v>
      </c>
      <c r="D113" s="25">
        <f>+요약!D115</f>
        <v>527</v>
      </c>
      <c r="E113" s="25">
        <f>+요약!E115</f>
        <v>0</v>
      </c>
      <c r="F113" s="25">
        <f>+요약!F115</f>
        <v>0</v>
      </c>
      <c r="G113" s="25">
        <f>+요약!G115</f>
        <v>0</v>
      </c>
      <c r="H113" s="25">
        <f>+요약!H115</f>
        <v>0</v>
      </c>
      <c r="I113" s="25">
        <f>+요약!I115</f>
        <v>0</v>
      </c>
      <c r="J113" s="25">
        <f>+요약!J115</f>
        <v>0</v>
      </c>
      <c r="K113" s="25">
        <f>+요약!K115</f>
        <v>0</v>
      </c>
      <c r="L113" s="25">
        <f>+요약!L115</f>
        <v>0</v>
      </c>
    </row>
    <row r="114" spans="3:12" ht="21.75" customHeight="1" x14ac:dyDescent="0.25">
      <c r="C114" s="24">
        <v>106</v>
      </c>
      <c r="D114" s="25">
        <f>+요약!D116</f>
        <v>473</v>
      </c>
      <c r="E114" s="25">
        <f>+요약!E116</f>
        <v>0</v>
      </c>
      <c r="F114" s="25">
        <f>+요약!F116</f>
        <v>0</v>
      </c>
      <c r="G114" s="25">
        <f>+요약!G116</f>
        <v>0</v>
      </c>
      <c r="H114" s="25">
        <f>+요약!H116</f>
        <v>0</v>
      </c>
      <c r="I114" s="25">
        <f>+요약!I116</f>
        <v>0</v>
      </c>
      <c r="J114" s="25">
        <f>+요약!J116</f>
        <v>0</v>
      </c>
      <c r="K114" s="25">
        <f>+요약!K116</f>
        <v>0</v>
      </c>
      <c r="L114" s="25">
        <f>+요약!L116</f>
        <v>0</v>
      </c>
    </row>
    <row r="115" spans="3:12" ht="21.75" customHeight="1" x14ac:dyDescent="0.25">
      <c r="C115" s="24">
        <v>107</v>
      </c>
      <c r="D115" s="25">
        <f>+요약!D117</f>
        <v>712</v>
      </c>
      <c r="E115" s="25">
        <f>+요약!E117</f>
        <v>0</v>
      </c>
      <c r="F115" s="25">
        <f>+요약!F117</f>
        <v>0</v>
      </c>
      <c r="G115" s="25">
        <f>+요약!G117</f>
        <v>0</v>
      </c>
      <c r="H115" s="25">
        <f>+요약!H117</f>
        <v>0</v>
      </c>
      <c r="I115" s="25">
        <f>+요약!I117</f>
        <v>0</v>
      </c>
      <c r="J115" s="25">
        <f>+요약!J117</f>
        <v>0</v>
      </c>
      <c r="K115" s="25">
        <f>+요약!K117</f>
        <v>0</v>
      </c>
      <c r="L115" s="25">
        <f>+요약!L117</f>
        <v>0</v>
      </c>
    </row>
    <row r="116" spans="3:12" ht="21.75" customHeight="1" x14ac:dyDescent="0.25">
      <c r="C116" s="24">
        <v>108</v>
      </c>
      <c r="D116" s="25">
        <f>+요약!D118</f>
        <v>1369</v>
      </c>
      <c r="E116" s="25">
        <f>+요약!E118</f>
        <v>0</v>
      </c>
      <c r="F116" s="25">
        <f>+요약!F118</f>
        <v>0</v>
      </c>
      <c r="G116" s="25">
        <f>+요약!G118</f>
        <v>0</v>
      </c>
      <c r="H116" s="25">
        <f>+요약!H118</f>
        <v>0</v>
      </c>
      <c r="I116" s="25">
        <f>+요약!I118</f>
        <v>0</v>
      </c>
      <c r="J116" s="25">
        <f>+요약!J118</f>
        <v>0</v>
      </c>
      <c r="K116" s="25">
        <f>+요약!K118</f>
        <v>0</v>
      </c>
      <c r="L116" s="25">
        <f>+요약!L118</f>
        <v>0</v>
      </c>
    </row>
    <row r="117" spans="3:12" ht="21.75" customHeight="1" x14ac:dyDescent="0.25">
      <c r="C117" s="24">
        <v>109</v>
      </c>
      <c r="D117" s="25">
        <f>+요약!D119</f>
        <v>1223</v>
      </c>
      <c r="E117" s="25">
        <f>+요약!E119</f>
        <v>0</v>
      </c>
      <c r="F117" s="25">
        <f>+요약!F119</f>
        <v>0</v>
      </c>
      <c r="G117" s="25">
        <f>+요약!G119</f>
        <v>0</v>
      </c>
      <c r="H117" s="25">
        <f>+요약!H119</f>
        <v>0</v>
      </c>
      <c r="I117" s="25">
        <f>+요약!I119</f>
        <v>0</v>
      </c>
      <c r="J117" s="25">
        <f>+요약!J119</f>
        <v>0</v>
      </c>
      <c r="K117" s="25">
        <f>+요약!K119</f>
        <v>0</v>
      </c>
      <c r="L117" s="25">
        <f>+요약!L119</f>
        <v>0</v>
      </c>
    </row>
    <row r="118" spans="3:12" ht="21.75" customHeight="1" x14ac:dyDescent="0.25">
      <c r="C118" s="24">
        <v>110</v>
      </c>
      <c r="D118" s="25">
        <f>+요약!D120</f>
        <v>751</v>
      </c>
      <c r="E118" s="25">
        <f>+요약!E120</f>
        <v>0</v>
      </c>
      <c r="F118" s="25">
        <f>+요약!F120</f>
        <v>0</v>
      </c>
      <c r="G118" s="25">
        <f>+요약!G120</f>
        <v>0</v>
      </c>
      <c r="H118" s="25">
        <f>+요약!H120</f>
        <v>0</v>
      </c>
      <c r="I118" s="25">
        <f>+요약!I120</f>
        <v>0</v>
      </c>
      <c r="J118" s="25">
        <f>+요약!J120</f>
        <v>0</v>
      </c>
      <c r="K118" s="25">
        <f>+요약!K120</f>
        <v>0</v>
      </c>
      <c r="L118" s="25">
        <f>+요약!L120</f>
        <v>0</v>
      </c>
    </row>
    <row r="119" spans="3:12" ht="21.75" customHeight="1" x14ac:dyDescent="0.25">
      <c r="C119" s="24">
        <v>111</v>
      </c>
      <c r="D119" s="25">
        <f>+요약!D121</f>
        <v>690</v>
      </c>
      <c r="E119" s="25">
        <f>+요약!E121</f>
        <v>0</v>
      </c>
      <c r="F119" s="25">
        <f>+요약!F121</f>
        <v>0</v>
      </c>
      <c r="G119" s="25">
        <f>+요약!G121</f>
        <v>0</v>
      </c>
      <c r="H119" s="25">
        <f>+요약!H121</f>
        <v>0</v>
      </c>
      <c r="I119" s="25">
        <f>+요약!I121</f>
        <v>0</v>
      </c>
      <c r="J119" s="25">
        <f>+요약!J121</f>
        <v>0</v>
      </c>
      <c r="K119" s="25">
        <f>+요약!K121</f>
        <v>0</v>
      </c>
      <c r="L119" s="25">
        <f>+요약!L121</f>
        <v>0</v>
      </c>
    </row>
    <row r="120" spans="3:12" ht="21.75" customHeight="1" x14ac:dyDescent="0.25">
      <c r="C120" s="24">
        <v>112</v>
      </c>
      <c r="D120" s="25">
        <f>+요약!D122</f>
        <v>960</v>
      </c>
      <c r="E120" s="25">
        <f>+요약!E122</f>
        <v>0</v>
      </c>
      <c r="F120" s="25">
        <f>+요약!F122</f>
        <v>0</v>
      </c>
      <c r="G120" s="25">
        <f>+요약!G122</f>
        <v>0</v>
      </c>
      <c r="H120" s="25">
        <f>+요약!H122</f>
        <v>0</v>
      </c>
      <c r="I120" s="25">
        <f>+요약!I122</f>
        <v>0</v>
      </c>
      <c r="J120" s="25">
        <f>+요약!J122</f>
        <v>0</v>
      </c>
      <c r="K120" s="25">
        <f>+요약!K122</f>
        <v>0</v>
      </c>
      <c r="L120" s="25">
        <f>+요약!L122</f>
        <v>0</v>
      </c>
    </row>
    <row r="121" spans="3:12" ht="21.75" customHeight="1" x14ac:dyDescent="0.25">
      <c r="C121" s="24">
        <v>113</v>
      </c>
      <c r="D121" s="25">
        <f>+요약!D123</f>
        <v>637</v>
      </c>
      <c r="E121" s="25">
        <f>+요약!E123</f>
        <v>0</v>
      </c>
      <c r="F121" s="25">
        <f>+요약!F123</f>
        <v>0</v>
      </c>
      <c r="G121" s="25">
        <f>+요약!G123</f>
        <v>0</v>
      </c>
      <c r="H121" s="25">
        <f>+요약!H123</f>
        <v>0</v>
      </c>
      <c r="I121" s="25">
        <f>+요약!I123</f>
        <v>0</v>
      </c>
      <c r="J121" s="25">
        <f>+요약!J123</f>
        <v>0</v>
      </c>
      <c r="K121" s="25">
        <f>+요약!K123</f>
        <v>0</v>
      </c>
      <c r="L121" s="25">
        <f>+요약!L123</f>
        <v>0</v>
      </c>
    </row>
    <row r="122" spans="3:12" ht="21.75" customHeight="1" x14ac:dyDescent="0.25">
      <c r="C122" s="24">
        <v>114</v>
      </c>
      <c r="D122" s="25">
        <f>+요약!D124</f>
        <v>965</v>
      </c>
      <c r="E122" s="25">
        <f>+요약!E124</f>
        <v>0</v>
      </c>
      <c r="F122" s="25">
        <f>+요약!F124</f>
        <v>0</v>
      </c>
      <c r="G122" s="25">
        <f>+요약!G124</f>
        <v>0</v>
      </c>
      <c r="H122" s="25">
        <f>+요약!H124</f>
        <v>0</v>
      </c>
      <c r="I122" s="25">
        <f>+요약!I124</f>
        <v>0</v>
      </c>
      <c r="J122" s="25">
        <f>+요약!J124</f>
        <v>0</v>
      </c>
      <c r="K122" s="25">
        <f>+요약!K124</f>
        <v>0</v>
      </c>
      <c r="L122" s="25">
        <f>+요약!L124</f>
        <v>0</v>
      </c>
    </row>
    <row r="123" spans="3:12" ht="21.75" customHeight="1" x14ac:dyDescent="0.25">
      <c r="C123" s="24">
        <v>115</v>
      </c>
      <c r="D123" s="25">
        <f>+요약!D125</f>
        <v>1879</v>
      </c>
      <c r="E123" s="25">
        <f>+요약!E125</f>
        <v>0</v>
      </c>
      <c r="F123" s="25">
        <f>+요약!F125</f>
        <v>0</v>
      </c>
      <c r="G123" s="25">
        <f>+요약!G125</f>
        <v>0</v>
      </c>
      <c r="H123" s="25">
        <f>+요약!H125</f>
        <v>0</v>
      </c>
      <c r="I123" s="25">
        <f>+요약!I125</f>
        <v>0</v>
      </c>
      <c r="J123" s="25">
        <f>+요약!J125</f>
        <v>0</v>
      </c>
      <c r="K123" s="25">
        <f>+요약!K125</f>
        <v>0</v>
      </c>
      <c r="L123" s="25">
        <f>+요약!L125</f>
        <v>0</v>
      </c>
    </row>
    <row r="124" spans="3:12" ht="21.75" customHeight="1" x14ac:dyDescent="0.25">
      <c r="C124" s="24">
        <v>116</v>
      </c>
      <c r="D124" s="25">
        <f>+요약!D126</f>
        <v>1832</v>
      </c>
      <c r="E124" s="25">
        <f>+요약!E126</f>
        <v>0</v>
      </c>
      <c r="F124" s="25">
        <f>+요약!F126</f>
        <v>0</v>
      </c>
      <c r="G124" s="25">
        <f>+요약!G126</f>
        <v>0</v>
      </c>
      <c r="H124" s="25">
        <f>+요약!H126</f>
        <v>0</v>
      </c>
      <c r="I124" s="25">
        <f>+요약!I126</f>
        <v>0</v>
      </c>
      <c r="J124" s="25">
        <f>+요약!J126</f>
        <v>0</v>
      </c>
      <c r="K124" s="25">
        <f>+요약!K126</f>
        <v>0</v>
      </c>
      <c r="L124" s="25">
        <f>+요약!L126</f>
        <v>0</v>
      </c>
    </row>
    <row r="125" spans="3:12" ht="21.75" customHeight="1" x14ac:dyDescent="0.25">
      <c r="C125" s="24">
        <v>117</v>
      </c>
      <c r="D125" s="25">
        <f>+요약!D127</f>
        <v>1042</v>
      </c>
      <c r="E125" s="25">
        <f>+요약!E127</f>
        <v>0</v>
      </c>
      <c r="F125" s="25">
        <f>+요약!F127</f>
        <v>0</v>
      </c>
      <c r="G125" s="25">
        <f>+요약!G127</f>
        <v>0</v>
      </c>
      <c r="H125" s="25">
        <f>+요약!H127</f>
        <v>0</v>
      </c>
      <c r="I125" s="25">
        <f>+요약!I127</f>
        <v>0</v>
      </c>
      <c r="J125" s="25">
        <f>+요약!J127</f>
        <v>0</v>
      </c>
      <c r="K125" s="25">
        <f>+요약!K127</f>
        <v>0</v>
      </c>
      <c r="L125" s="25">
        <f>+요약!L127</f>
        <v>0</v>
      </c>
    </row>
    <row r="126" spans="3:12" ht="21.75" customHeight="1" x14ac:dyDescent="0.25">
      <c r="C126" s="24">
        <v>118</v>
      </c>
      <c r="D126" s="25">
        <f>+요약!D128</f>
        <v>1091</v>
      </c>
      <c r="E126" s="25">
        <f>+요약!E128</f>
        <v>0</v>
      </c>
      <c r="F126" s="25">
        <f>+요약!F128</f>
        <v>0</v>
      </c>
      <c r="G126" s="25">
        <f>+요약!G128</f>
        <v>0</v>
      </c>
      <c r="H126" s="25">
        <f>+요약!H128</f>
        <v>0</v>
      </c>
      <c r="I126" s="25">
        <f>+요약!I128</f>
        <v>0</v>
      </c>
      <c r="J126" s="25">
        <f>+요약!J128</f>
        <v>0</v>
      </c>
      <c r="K126" s="25">
        <f>+요약!K128</f>
        <v>0</v>
      </c>
      <c r="L126" s="25">
        <f>+요약!L128</f>
        <v>0</v>
      </c>
    </row>
    <row r="127" spans="3:12" ht="21.75" customHeight="1" x14ac:dyDescent="0.25">
      <c r="C127" s="24">
        <v>119</v>
      </c>
      <c r="D127" s="25">
        <f>+요약!D129</f>
        <v>1156</v>
      </c>
      <c r="E127" s="25">
        <f>+요약!E129</f>
        <v>0</v>
      </c>
      <c r="F127" s="25">
        <f>+요약!F129</f>
        <v>0</v>
      </c>
      <c r="G127" s="25">
        <f>+요약!G129</f>
        <v>0</v>
      </c>
      <c r="H127" s="25">
        <f>+요약!H129</f>
        <v>0</v>
      </c>
      <c r="I127" s="25">
        <f>+요약!I129</f>
        <v>0</v>
      </c>
      <c r="J127" s="25">
        <f>+요약!J129</f>
        <v>0</v>
      </c>
      <c r="K127" s="25">
        <f>+요약!K129</f>
        <v>0</v>
      </c>
      <c r="L127" s="25">
        <f>+요약!L129</f>
        <v>0</v>
      </c>
    </row>
    <row r="128" spans="3:12" ht="21.75" customHeight="1" x14ac:dyDescent="0.25">
      <c r="C128" s="24">
        <v>120</v>
      </c>
      <c r="D128" s="25">
        <f>+요약!D130</f>
        <v>1170</v>
      </c>
      <c r="E128" s="25">
        <f>+요약!E130</f>
        <v>0</v>
      </c>
      <c r="F128" s="25">
        <f>+요약!F130</f>
        <v>0</v>
      </c>
      <c r="G128" s="25">
        <f>+요약!G130</f>
        <v>0</v>
      </c>
      <c r="H128" s="25">
        <f>+요약!H130</f>
        <v>0</v>
      </c>
      <c r="I128" s="25">
        <f>+요약!I130</f>
        <v>0</v>
      </c>
      <c r="J128" s="25">
        <f>+요약!J130</f>
        <v>0</v>
      </c>
      <c r="K128" s="25">
        <f>+요약!K130</f>
        <v>0</v>
      </c>
      <c r="L128" s="25">
        <f>+요약!L130</f>
        <v>0</v>
      </c>
    </row>
    <row r="129" spans="3:12" ht="21.75" customHeight="1" x14ac:dyDescent="0.25">
      <c r="C129" s="24">
        <v>121</v>
      </c>
      <c r="D129" s="25">
        <f>+요약!D131</f>
        <v>1393</v>
      </c>
      <c r="E129" s="25">
        <f>+요약!E131</f>
        <v>0</v>
      </c>
      <c r="F129" s="25">
        <f>+요약!F131</f>
        <v>0</v>
      </c>
      <c r="G129" s="25">
        <f>+요약!G131</f>
        <v>0</v>
      </c>
      <c r="H129" s="25">
        <f>+요약!H131</f>
        <v>0</v>
      </c>
      <c r="I129" s="25">
        <f>+요약!I131</f>
        <v>0</v>
      </c>
      <c r="J129" s="25">
        <f>+요약!J131</f>
        <v>0</v>
      </c>
      <c r="K129" s="25">
        <f>+요약!K131</f>
        <v>0</v>
      </c>
      <c r="L129" s="25">
        <f>+요약!L131</f>
        <v>0</v>
      </c>
    </row>
    <row r="130" spans="3:12" ht="21.75" customHeight="1" x14ac:dyDescent="0.25">
      <c r="C130" s="24">
        <v>122</v>
      </c>
      <c r="D130" s="25">
        <f>+요약!D132</f>
        <v>2534</v>
      </c>
      <c r="E130" s="25">
        <f>+요약!E132</f>
        <v>0</v>
      </c>
      <c r="F130" s="25">
        <f>+요약!F132</f>
        <v>0</v>
      </c>
      <c r="G130" s="25">
        <f>+요약!G132</f>
        <v>0</v>
      </c>
      <c r="H130" s="25">
        <f>+요약!H132</f>
        <v>0</v>
      </c>
      <c r="I130" s="25">
        <f>+요약!I132</f>
        <v>0</v>
      </c>
      <c r="J130" s="25">
        <f>+요약!J132</f>
        <v>0</v>
      </c>
      <c r="K130" s="25">
        <f>+요약!K132</f>
        <v>0</v>
      </c>
      <c r="L130" s="25">
        <f>+요약!L132</f>
        <v>0</v>
      </c>
    </row>
    <row r="131" spans="3:12" ht="21.75" customHeight="1" x14ac:dyDescent="0.25">
      <c r="C131" s="24">
        <v>123</v>
      </c>
      <c r="D131" s="25">
        <f>+요약!D133</f>
        <v>2391</v>
      </c>
      <c r="E131" s="25">
        <f>+요약!E133</f>
        <v>0</v>
      </c>
      <c r="F131" s="25">
        <f>+요약!F133</f>
        <v>0</v>
      </c>
      <c r="G131" s="25">
        <f>+요약!G133</f>
        <v>0</v>
      </c>
      <c r="H131" s="25">
        <f>+요약!H133</f>
        <v>0</v>
      </c>
      <c r="I131" s="25">
        <f>+요약!I133</f>
        <v>0</v>
      </c>
      <c r="J131" s="25">
        <f>+요약!J133</f>
        <v>0</v>
      </c>
      <c r="K131" s="25">
        <f>+요약!K133</f>
        <v>0</v>
      </c>
      <c r="L131" s="25">
        <f>+요약!L133</f>
        <v>0</v>
      </c>
    </row>
    <row r="132" spans="3:12" ht="21.75" customHeight="1" x14ac:dyDescent="0.25">
      <c r="C132" s="24">
        <v>124</v>
      </c>
      <c r="D132" s="25">
        <f>+요약!D134</f>
        <v>642</v>
      </c>
      <c r="E132" s="25">
        <f>+요약!E134</f>
        <v>0</v>
      </c>
      <c r="F132" s="25">
        <f>+요약!F134</f>
        <v>0</v>
      </c>
      <c r="G132" s="25">
        <f>+요약!G134</f>
        <v>0</v>
      </c>
      <c r="H132" s="25">
        <f>+요약!H134</f>
        <v>0</v>
      </c>
      <c r="I132" s="25">
        <f>+요약!I134</f>
        <v>0</v>
      </c>
      <c r="J132" s="25">
        <f>+요약!J134</f>
        <v>0</v>
      </c>
      <c r="K132" s="25">
        <f>+요약!K134</f>
        <v>0</v>
      </c>
      <c r="L132" s="25">
        <f>+요약!L134</f>
        <v>0</v>
      </c>
    </row>
    <row r="133" spans="3:12" ht="21.75" customHeight="1" x14ac:dyDescent="0.25">
      <c r="C133" s="24">
        <v>125</v>
      </c>
      <c r="D133" s="25">
        <f>+요약!D135</f>
        <v>694</v>
      </c>
      <c r="E133" s="25">
        <f>+요약!E135</f>
        <v>0</v>
      </c>
      <c r="F133" s="25">
        <f>+요약!F135</f>
        <v>0</v>
      </c>
      <c r="G133" s="25">
        <f>+요약!G135</f>
        <v>0</v>
      </c>
      <c r="H133" s="25">
        <f>+요약!H135</f>
        <v>0</v>
      </c>
      <c r="I133" s="25">
        <f>+요약!I135</f>
        <v>0</v>
      </c>
      <c r="J133" s="25">
        <f>+요약!J135</f>
        <v>0</v>
      </c>
      <c r="K133" s="25">
        <f>+요약!K135</f>
        <v>0</v>
      </c>
      <c r="L133" s="25">
        <f>+요약!L135</f>
        <v>0</v>
      </c>
    </row>
    <row r="134" spans="3:12" ht="21.75" customHeight="1" x14ac:dyDescent="0.25">
      <c r="C134" s="24">
        <f t="shared" ref="C134:C144" si="2">+C133+1</f>
        <v>126</v>
      </c>
      <c r="D134" s="25">
        <f>+요약!D136</f>
        <v>783</v>
      </c>
      <c r="E134" s="25">
        <f>+요약!E136</f>
        <v>0</v>
      </c>
      <c r="F134" s="25">
        <f>+요약!F136</f>
        <v>0</v>
      </c>
      <c r="G134" s="25">
        <f>+요약!G136</f>
        <v>0</v>
      </c>
      <c r="H134" s="25">
        <f>+요약!H136</f>
        <v>0</v>
      </c>
      <c r="I134" s="25">
        <f>+요약!I136</f>
        <v>0</v>
      </c>
      <c r="J134" s="25">
        <f>+요약!J136</f>
        <v>0</v>
      </c>
      <c r="K134" s="25">
        <f>+요약!K136</f>
        <v>0</v>
      </c>
      <c r="L134" s="25">
        <f>+요약!L136</f>
        <v>0</v>
      </c>
    </row>
    <row r="135" spans="3:12" ht="21.75" customHeight="1" x14ac:dyDescent="0.25">
      <c r="C135" s="24">
        <f t="shared" si="2"/>
        <v>127</v>
      </c>
      <c r="D135" s="25">
        <f>+요약!D137</f>
        <v>0</v>
      </c>
      <c r="E135" s="25">
        <f>+요약!E137</f>
        <v>0</v>
      </c>
      <c r="F135" s="25">
        <f>+요약!F137</f>
        <v>0</v>
      </c>
      <c r="G135" s="25">
        <f>+요약!G137</f>
        <v>0</v>
      </c>
      <c r="H135" s="25">
        <f>+요약!H137</f>
        <v>0</v>
      </c>
      <c r="I135" s="25">
        <f>+요약!I137</f>
        <v>0</v>
      </c>
      <c r="J135" s="25">
        <f>+요약!J137</f>
        <v>0</v>
      </c>
      <c r="K135" s="25">
        <f>+요약!K137</f>
        <v>0</v>
      </c>
      <c r="L135" s="25">
        <f>+요약!L137</f>
        <v>0</v>
      </c>
    </row>
    <row r="136" spans="3:12" ht="21.75" customHeight="1" x14ac:dyDescent="0.25">
      <c r="C136" s="24">
        <f t="shared" si="2"/>
        <v>128</v>
      </c>
      <c r="D136" s="25">
        <f>+요약!D138</f>
        <v>0</v>
      </c>
      <c r="E136" s="25">
        <f>+요약!E138</f>
        <v>0</v>
      </c>
      <c r="F136" s="25">
        <f>+요약!F138</f>
        <v>0</v>
      </c>
      <c r="G136" s="25">
        <f>+요약!G138</f>
        <v>0</v>
      </c>
      <c r="H136" s="25">
        <f>+요약!H138</f>
        <v>0</v>
      </c>
      <c r="I136" s="25">
        <f>+요약!I138</f>
        <v>0</v>
      </c>
      <c r="J136" s="25">
        <f>+요약!J138</f>
        <v>0</v>
      </c>
      <c r="K136" s="25">
        <f>+요약!K138</f>
        <v>0</v>
      </c>
      <c r="L136" s="25">
        <f>+요약!L138</f>
        <v>0</v>
      </c>
    </row>
    <row r="137" spans="3:12" ht="21.75" customHeight="1" x14ac:dyDescent="0.25">
      <c r="C137" s="24">
        <f t="shared" si="2"/>
        <v>129</v>
      </c>
      <c r="D137" s="25">
        <f>+요약!D139</f>
        <v>1939</v>
      </c>
      <c r="E137" s="25">
        <f>+요약!E139</f>
        <v>0</v>
      </c>
      <c r="F137" s="25">
        <f>+요약!F139</f>
        <v>0</v>
      </c>
      <c r="G137" s="25">
        <f>+요약!G139</f>
        <v>0</v>
      </c>
      <c r="H137" s="25">
        <f>+요약!H139</f>
        <v>0</v>
      </c>
      <c r="I137" s="25">
        <f>+요약!I139</f>
        <v>0</v>
      </c>
      <c r="J137" s="25">
        <f>+요약!J139</f>
        <v>0</v>
      </c>
      <c r="K137" s="25">
        <f>+요약!K139</f>
        <v>0</v>
      </c>
      <c r="L137" s="25">
        <f>+요약!L139</f>
        <v>0</v>
      </c>
    </row>
    <row r="138" spans="3:12" ht="21.75" customHeight="1" x14ac:dyDescent="0.25">
      <c r="C138" s="24">
        <f t="shared" si="2"/>
        <v>130</v>
      </c>
      <c r="D138" s="25">
        <f>+요약!D140</f>
        <v>1652</v>
      </c>
      <c r="E138" s="25">
        <f>+요약!E140</f>
        <v>0</v>
      </c>
      <c r="F138" s="25">
        <f>+요약!F140</f>
        <v>0</v>
      </c>
      <c r="G138" s="25">
        <f>+요약!G140</f>
        <v>0</v>
      </c>
      <c r="H138" s="25">
        <f>+요약!H140</f>
        <v>0</v>
      </c>
      <c r="I138" s="25">
        <f>+요약!I140</f>
        <v>0</v>
      </c>
      <c r="J138" s="25">
        <f>+요약!J140</f>
        <v>0</v>
      </c>
      <c r="K138" s="25">
        <f>+요약!K140</f>
        <v>0</v>
      </c>
      <c r="L138" s="25">
        <f>+요약!L140</f>
        <v>0</v>
      </c>
    </row>
    <row r="139" spans="3:12" ht="21.75" customHeight="1" x14ac:dyDescent="0.25">
      <c r="C139" s="24">
        <f t="shared" si="2"/>
        <v>131</v>
      </c>
      <c r="D139" s="25">
        <f>+요약!D141</f>
        <v>861</v>
      </c>
      <c r="E139" s="25">
        <f>+요약!E141</f>
        <v>0</v>
      </c>
      <c r="F139" s="25">
        <f>+요약!F141</f>
        <v>0</v>
      </c>
      <c r="G139" s="25">
        <f>+요약!G141</f>
        <v>0</v>
      </c>
      <c r="H139" s="25">
        <f>+요약!H141</f>
        <v>0</v>
      </c>
      <c r="I139" s="25">
        <f>+요약!I141</f>
        <v>0</v>
      </c>
      <c r="J139" s="25">
        <f>+요약!J141</f>
        <v>0</v>
      </c>
      <c r="K139" s="25">
        <f>+요약!K141</f>
        <v>0</v>
      </c>
      <c r="L139" s="25">
        <f>+요약!L141</f>
        <v>0</v>
      </c>
    </row>
    <row r="140" spans="3:12" ht="21.75" customHeight="1" x14ac:dyDescent="0.25">
      <c r="C140" s="24">
        <f t="shared" si="2"/>
        <v>132</v>
      </c>
      <c r="D140" s="25">
        <f>+요약!D142</f>
        <v>910</v>
      </c>
      <c r="E140" s="25">
        <f>+요약!E142</f>
        <v>0</v>
      </c>
      <c r="F140" s="25">
        <f>+요약!F142</f>
        <v>0</v>
      </c>
      <c r="G140" s="25">
        <f>+요약!G142</f>
        <v>0</v>
      </c>
      <c r="H140" s="25">
        <f>+요약!H142</f>
        <v>0</v>
      </c>
      <c r="I140" s="25">
        <f>+요약!I142</f>
        <v>0</v>
      </c>
      <c r="J140" s="25">
        <f>+요약!J142</f>
        <v>0</v>
      </c>
      <c r="K140" s="25">
        <f>+요약!K142</f>
        <v>0</v>
      </c>
      <c r="L140" s="25">
        <f>+요약!L142</f>
        <v>0</v>
      </c>
    </row>
    <row r="141" spans="3:12" ht="21.75" customHeight="1" x14ac:dyDescent="0.25">
      <c r="C141" s="24">
        <f t="shared" si="2"/>
        <v>133</v>
      </c>
      <c r="D141" s="25">
        <f>+요약!D143</f>
        <v>1057</v>
      </c>
      <c r="E141" s="25">
        <f>+요약!E143</f>
        <v>0</v>
      </c>
      <c r="F141" s="25">
        <f>+요약!F143</f>
        <v>0</v>
      </c>
      <c r="G141" s="25">
        <f>+요약!G143</f>
        <v>0</v>
      </c>
      <c r="H141" s="25">
        <f>+요약!H143</f>
        <v>0</v>
      </c>
      <c r="I141" s="25">
        <f>+요약!I143</f>
        <v>0</v>
      </c>
      <c r="J141" s="25">
        <f>+요약!J143</f>
        <v>0</v>
      </c>
      <c r="K141" s="25">
        <f>+요약!K143</f>
        <v>0</v>
      </c>
      <c r="L141" s="25">
        <f>+요약!L143</f>
        <v>0</v>
      </c>
    </row>
    <row r="142" spans="3:12" ht="21.75" customHeight="1" x14ac:dyDescent="0.25">
      <c r="C142" s="24">
        <f t="shared" si="2"/>
        <v>134</v>
      </c>
      <c r="D142" s="25">
        <f>+요약!D144</f>
        <v>1493</v>
      </c>
      <c r="E142" s="25">
        <f>+요약!E144</f>
        <v>0</v>
      </c>
      <c r="F142" s="25">
        <f>+요약!F144</f>
        <v>0</v>
      </c>
      <c r="G142" s="25">
        <f>+요약!G144</f>
        <v>0</v>
      </c>
      <c r="H142" s="25">
        <f>+요약!H144</f>
        <v>0</v>
      </c>
      <c r="I142" s="25">
        <f>+요약!I144</f>
        <v>0</v>
      </c>
      <c r="J142" s="25">
        <f>+요약!J144</f>
        <v>0</v>
      </c>
      <c r="K142" s="25">
        <f>+요약!K144</f>
        <v>0</v>
      </c>
      <c r="L142" s="25">
        <f>+요약!L144</f>
        <v>0</v>
      </c>
    </row>
    <row r="143" spans="3:12" ht="21.75" customHeight="1" x14ac:dyDescent="0.25">
      <c r="C143" s="24">
        <f t="shared" si="2"/>
        <v>135</v>
      </c>
      <c r="D143" s="25">
        <f>+요약!D145</f>
        <v>2014</v>
      </c>
      <c r="E143" s="25">
        <f>+요약!E145</f>
        <v>0</v>
      </c>
      <c r="F143" s="25">
        <f>+요약!F145</f>
        <v>0</v>
      </c>
      <c r="G143" s="25">
        <f>+요약!G145</f>
        <v>0</v>
      </c>
      <c r="H143" s="25">
        <f>+요약!H145</f>
        <v>0</v>
      </c>
      <c r="I143" s="25">
        <f>+요약!I145</f>
        <v>0</v>
      </c>
      <c r="J143" s="25">
        <f>+요약!J145</f>
        <v>0</v>
      </c>
      <c r="K143" s="25">
        <f>+요약!K145</f>
        <v>0</v>
      </c>
      <c r="L143" s="25">
        <f>+요약!L145</f>
        <v>0</v>
      </c>
    </row>
    <row r="144" spans="3:12" ht="21.75" customHeight="1" x14ac:dyDescent="0.25">
      <c r="C144" s="24">
        <f t="shared" si="2"/>
        <v>136</v>
      </c>
      <c r="D144" s="25">
        <f>+요약!D146</f>
        <v>3306</v>
      </c>
      <c r="E144" s="25">
        <f>+요약!E146</f>
        <v>0</v>
      </c>
      <c r="F144" s="25">
        <f>+요약!F146</f>
        <v>0</v>
      </c>
      <c r="G144" s="25">
        <f>+요약!G146</f>
        <v>0</v>
      </c>
      <c r="H144" s="25">
        <f>+요약!H146</f>
        <v>0</v>
      </c>
      <c r="I144" s="25">
        <f>+요약!I146</f>
        <v>0</v>
      </c>
      <c r="J144" s="25">
        <f>+요약!J146</f>
        <v>0</v>
      </c>
      <c r="K144" s="25">
        <f>+요약!K146</f>
        <v>0</v>
      </c>
      <c r="L144" s="25">
        <f>+요약!L146</f>
        <v>0</v>
      </c>
    </row>
    <row r="145" spans="3:12" ht="21.75" customHeight="1" x14ac:dyDescent="0.25">
      <c r="C145" s="24"/>
      <c r="D145" s="25"/>
      <c r="E145" s="25"/>
      <c r="F145" s="25"/>
      <c r="G145" s="25"/>
      <c r="H145" s="25"/>
      <c r="I145" s="25"/>
      <c r="J145" s="25"/>
      <c r="K145" s="25"/>
      <c r="L145" s="2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4:J142"/>
  <sheetViews>
    <sheetView showGridLines="0" workbookViewId="0"/>
  </sheetViews>
  <sheetFormatPr defaultColWidth="9.140625" defaultRowHeight="15" customHeight="1" x14ac:dyDescent="0.25"/>
  <cols>
    <col min="1" max="16384" width="9.140625" style="1"/>
  </cols>
  <sheetData>
    <row r="4" spans="1:10" ht="15" customHeight="1" x14ac:dyDescent="0.25">
      <c r="A4" s="2" t="s">
        <v>18</v>
      </c>
      <c r="B4" s="2" t="str">
        <f>+요약!D6</f>
        <v>바스키아</v>
      </c>
      <c r="C4" s="2" t="str">
        <f>+요약!E6</f>
        <v>김정기</v>
      </c>
      <c r="D4" s="2" t="str">
        <f>+요약!F6</f>
        <v>드리머</v>
      </c>
      <c r="E4" s="2" t="str">
        <f>+요약!G6</f>
        <v>알렉스</v>
      </c>
      <c r="F4" s="2" t="str">
        <f>+요약!H6</f>
        <v>페어리</v>
      </c>
      <c r="G4" s="2" t="str">
        <f>+요약!I6</f>
        <v>마르지엘라</v>
      </c>
      <c r="H4" s="2" t="str">
        <f>+요약!J6</f>
        <v>제이알</v>
      </c>
      <c r="I4" s="2" t="str">
        <f>+요약!K6</f>
        <v>오스틴 리</v>
      </c>
      <c r="J4" s="2" t="str">
        <f>+요약!L6</f>
        <v>윤협</v>
      </c>
    </row>
    <row r="5" spans="1:10" ht="15" customHeight="1" x14ac:dyDescent="0.25">
      <c r="A5" s="13">
        <f>+요약!C11</f>
        <v>1</v>
      </c>
      <c r="B5" s="6">
        <f>+요약!D11</f>
        <v>899</v>
      </c>
      <c r="C5" s="6">
        <f>+요약!E11</f>
        <v>158</v>
      </c>
      <c r="D5" s="6">
        <f>+요약!F11</f>
        <v>89</v>
      </c>
      <c r="E5" s="6">
        <f>+요약!G11</f>
        <v>285</v>
      </c>
      <c r="F5" s="6">
        <f>+요약!H11</f>
        <v>342</v>
      </c>
      <c r="G5" s="6">
        <f>+요약!I11</f>
        <v>1532</v>
      </c>
      <c r="H5" s="6">
        <f>+요약!J11</f>
        <v>106</v>
      </c>
      <c r="I5" s="6">
        <f>+요약!K11</f>
        <v>227</v>
      </c>
      <c r="J5" s="6">
        <f>+요약!L11</f>
        <v>626</v>
      </c>
    </row>
    <row r="6" spans="1:10" ht="15" customHeight="1" x14ac:dyDescent="0.25">
      <c r="A6" s="13">
        <f>+요약!C12</f>
        <v>2</v>
      </c>
      <c r="B6" s="6">
        <f>+요약!D12</f>
        <v>1682</v>
      </c>
      <c r="C6" s="6">
        <f>+요약!E12</f>
        <v>265</v>
      </c>
      <c r="D6" s="6">
        <f>+요약!F12</f>
        <v>98</v>
      </c>
      <c r="E6" s="6">
        <f>+요약!G12</f>
        <v>356</v>
      </c>
      <c r="F6" s="6">
        <f>+요약!H12</f>
        <v>453</v>
      </c>
      <c r="G6" s="6">
        <f>+요약!I12</f>
        <v>1116</v>
      </c>
      <c r="H6" s="6">
        <f>+요약!J12</f>
        <v>107</v>
      </c>
      <c r="I6" s="6">
        <f>+요약!K12</f>
        <v>274</v>
      </c>
      <c r="J6" s="6">
        <f>+요약!L12</f>
        <v>389</v>
      </c>
    </row>
    <row r="7" spans="1:10" ht="15" customHeight="1" x14ac:dyDescent="0.25">
      <c r="A7" s="13">
        <f>+요약!C13</f>
        <v>3</v>
      </c>
      <c r="B7" s="6">
        <f>+요약!D13</f>
        <v>1564</v>
      </c>
      <c r="C7" s="6">
        <f>+요약!E13</f>
        <v>151</v>
      </c>
      <c r="D7" s="6">
        <f>+요약!F13</f>
        <v>188</v>
      </c>
      <c r="E7" s="6">
        <f>+요약!G13</f>
        <v>130</v>
      </c>
      <c r="F7" s="6">
        <f>+요약!H13</f>
        <v>338</v>
      </c>
      <c r="G7" s="6">
        <f>+요약!I13</f>
        <v>632</v>
      </c>
      <c r="H7" s="6">
        <f>+요약!J13</f>
        <v>287</v>
      </c>
      <c r="I7" s="6">
        <f>+요약!K13</f>
        <v>124</v>
      </c>
      <c r="J7" s="6">
        <f>+요약!L13</f>
        <v>135</v>
      </c>
    </row>
    <row r="8" spans="1:10" ht="15" customHeight="1" x14ac:dyDescent="0.25">
      <c r="A8" s="13">
        <f>+요약!C14</f>
        <v>4</v>
      </c>
      <c r="B8" s="6">
        <f>+요약!D14</f>
        <v>1409</v>
      </c>
      <c r="C8" s="6">
        <f>+요약!E14</f>
        <v>0</v>
      </c>
      <c r="D8" s="6">
        <f>+요약!F14</f>
        <v>158</v>
      </c>
      <c r="E8" s="6">
        <f>+요약!G14</f>
        <v>107</v>
      </c>
      <c r="F8" s="6">
        <f>+요약!H14</f>
        <v>212</v>
      </c>
      <c r="G8" s="6">
        <f>+요약!I14</f>
        <v>575</v>
      </c>
      <c r="H8" s="6">
        <f>+요약!J14</f>
        <v>205</v>
      </c>
      <c r="I8" s="6">
        <f>+요약!K14</f>
        <v>105</v>
      </c>
      <c r="J8" s="6">
        <f>+요약!L14</f>
        <v>161</v>
      </c>
    </row>
    <row r="9" spans="1:10" ht="15" customHeight="1" x14ac:dyDescent="0.25">
      <c r="A9" s="13">
        <f>+요약!C15</f>
        <v>5</v>
      </c>
      <c r="B9" s="6">
        <f>+요약!D15</f>
        <v>614</v>
      </c>
      <c r="C9" s="6">
        <f>+요약!E15</f>
        <v>70</v>
      </c>
      <c r="D9" s="6">
        <f>+요약!F15</f>
        <v>181</v>
      </c>
      <c r="E9" s="6">
        <f>+요약!G15</f>
        <v>143</v>
      </c>
      <c r="F9" s="6">
        <f>+요약!H15</f>
        <v>211</v>
      </c>
      <c r="G9" s="6">
        <f>+요약!I15</f>
        <v>573</v>
      </c>
      <c r="H9" s="6">
        <f>+요약!J15</f>
        <v>115</v>
      </c>
      <c r="I9" s="6">
        <f>+요약!K15</f>
        <v>413</v>
      </c>
      <c r="J9" s="6">
        <f>+요약!L15</f>
        <v>175</v>
      </c>
    </row>
    <row r="10" spans="1:10" ht="15" customHeight="1" x14ac:dyDescent="0.25">
      <c r="A10" s="13">
        <f>+요약!C16</f>
        <v>6</v>
      </c>
      <c r="B10" s="6">
        <f>+요약!D16</f>
        <v>614</v>
      </c>
      <c r="C10" s="6">
        <f>+요약!E16</f>
        <v>69</v>
      </c>
      <c r="D10" s="6">
        <f>+요약!F16</f>
        <v>36</v>
      </c>
      <c r="E10" s="6">
        <f>+요약!G16</f>
        <v>509</v>
      </c>
      <c r="F10" s="6">
        <f>+요약!H16</f>
        <v>302</v>
      </c>
      <c r="G10" s="6">
        <f>+요약!I16</f>
        <v>610</v>
      </c>
      <c r="H10" s="6">
        <f>+요약!J16</f>
        <v>64</v>
      </c>
      <c r="I10" s="6">
        <f>+요약!K16</f>
        <v>305</v>
      </c>
      <c r="J10" s="6">
        <f>+요약!L16</f>
        <v>140</v>
      </c>
    </row>
    <row r="11" spans="1:10" ht="15" customHeight="1" x14ac:dyDescent="0.25">
      <c r="A11" s="13">
        <f>+요약!C17</f>
        <v>7</v>
      </c>
      <c r="B11" s="6">
        <f>+요약!D17</f>
        <v>727</v>
      </c>
      <c r="C11" s="6">
        <f>+요약!E17</f>
        <v>132</v>
      </c>
      <c r="D11" s="6">
        <f>+요약!F17</f>
        <v>60</v>
      </c>
      <c r="E11" s="6">
        <f>+요약!G17</f>
        <v>390</v>
      </c>
      <c r="F11" s="6">
        <f>+요약!H17</f>
        <v>232</v>
      </c>
      <c r="G11" s="6">
        <f>+요약!I17</f>
        <v>747</v>
      </c>
      <c r="H11" s="6">
        <f>+요약!J17</f>
        <v>106</v>
      </c>
      <c r="I11" s="6">
        <f>+요약!K17</f>
        <v>349</v>
      </c>
      <c r="J11" s="6">
        <f>+요약!L17</f>
        <v>637</v>
      </c>
    </row>
    <row r="12" spans="1:10" ht="15" customHeight="1" x14ac:dyDescent="0.25">
      <c r="A12" s="13">
        <f>+요약!C18</f>
        <v>8</v>
      </c>
      <c r="B12" s="6">
        <f>+요약!D18</f>
        <v>630</v>
      </c>
      <c r="C12" s="6">
        <f>+요약!E18</f>
        <v>96</v>
      </c>
      <c r="D12" s="6">
        <f>+요약!F18</f>
        <v>73</v>
      </c>
      <c r="E12" s="6">
        <f>+요약!G18</f>
        <v>0</v>
      </c>
      <c r="F12" s="6">
        <f>+요약!H18</f>
        <v>240</v>
      </c>
      <c r="G12" s="6">
        <f>+요약!I18</f>
        <v>787</v>
      </c>
      <c r="H12" s="6">
        <f>+요약!J18</f>
        <v>54</v>
      </c>
      <c r="I12" s="6">
        <f>+요약!K18</f>
        <v>336</v>
      </c>
      <c r="J12" s="6">
        <f>+요약!L18</f>
        <v>452</v>
      </c>
    </row>
    <row r="13" spans="1:10" ht="15" customHeight="1" x14ac:dyDescent="0.25">
      <c r="A13" s="13">
        <f>+요약!C19</f>
        <v>9</v>
      </c>
      <c r="B13" s="6">
        <f>+요약!D19</f>
        <v>659</v>
      </c>
      <c r="C13" s="6">
        <f>+요약!E19</f>
        <v>254</v>
      </c>
      <c r="D13" s="6">
        <f>+요약!F19</f>
        <v>110</v>
      </c>
      <c r="E13" s="6">
        <f>+요약!G19</f>
        <v>129</v>
      </c>
      <c r="F13" s="6">
        <f>+요약!H19</f>
        <v>489</v>
      </c>
      <c r="G13" s="6">
        <f>+요약!I19</f>
        <v>0</v>
      </c>
      <c r="H13" s="6">
        <f>+요약!J19</f>
        <v>96</v>
      </c>
      <c r="I13" s="6">
        <f>+요약!K19</f>
        <v>120</v>
      </c>
      <c r="J13" s="6">
        <f>+요약!L19</f>
        <v>241</v>
      </c>
    </row>
    <row r="14" spans="1:10" ht="15" customHeight="1" x14ac:dyDescent="0.25">
      <c r="A14" s="13">
        <f>+요약!C20</f>
        <v>10</v>
      </c>
      <c r="B14" s="6">
        <f>+요약!D20</f>
        <v>1752</v>
      </c>
      <c r="C14" s="6">
        <f>+요약!E20</f>
        <v>164</v>
      </c>
      <c r="D14" s="6">
        <f>+요약!F20</f>
        <v>344</v>
      </c>
      <c r="E14" s="6">
        <f>+요약!G20</f>
        <v>469</v>
      </c>
      <c r="F14" s="6">
        <f>+요약!H20</f>
        <v>417</v>
      </c>
      <c r="G14" s="6">
        <f>+요약!I20</f>
        <v>349</v>
      </c>
      <c r="H14" s="6">
        <f>+요약!J20</f>
        <v>101</v>
      </c>
      <c r="I14" s="6">
        <f>+요약!K20</f>
        <v>96</v>
      </c>
      <c r="J14" s="6">
        <f>+요약!L20</f>
        <v>0</v>
      </c>
    </row>
    <row r="15" spans="1:10" ht="15" customHeight="1" x14ac:dyDescent="0.25">
      <c r="A15" s="13">
        <f>+요약!C21</f>
        <v>11</v>
      </c>
      <c r="B15" s="6">
        <f>+요약!D21</f>
        <v>1355</v>
      </c>
      <c r="C15" s="6">
        <f>+요약!E21</f>
        <v>106</v>
      </c>
      <c r="D15" s="6">
        <f>+요약!F21</f>
        <v>356</v>
      </c>
      <c r="E15" s="6">
        <f>+요약!G21</f>
        <v>135</v>
      </c>
      <c r="F15" s="6">
        <f>+요약!H21</f>
        <v>230</v>
      </c>
      <c r="G15" s="6">
        <f>+요약!I21</f>
        <v>367</v>
      </c>
      <c r="H15" s="6">
        <f>+요약!J21</f>
        <v>282</v>
      </c>
      <c r="I15" s="6">
        <f>+요약!K21</f>
        <v>202</v>
      </c>
      <c r="J15" s="6">
        <f>+요약!L21</f>
        <v>98</v>
      </c>
    </row>
    <row r="16" spans="1:10" ht="15" customHeight="1" x14ac:dyDescent="0.25">
      <c r="A16" s="13">
        <f>+요약!C22</f>
        <v>12</v>
      </c>
      <c r="B16" s="6">
        <f>+요약!D22</f>
        <v>540</v>
      </c>
      <c r="C16" s="6">
        <f>+요약!E22</f>
        <v>54</v>
      </c>
      <c r="D16" s="6">
        <f>+요약!F22</f>
        <v>225</v>
      </c>
      <c r="E16" s="6">
        <f>+요약!G22</f>
        <v>181</v>
      </c>
      <c r="F16" s="6">
        <f>+요약!H22</f>
        <v>146</v>
      </c>
      <c r="G16" s="6">
        <f>+요약!I22</f>
        <v>302</v>
      </c>
      <c r="H16" s="6">
        <f>+요약!J22</f>
        <v>173</v>
      </c>
      <c r="I16" s="6">
        <f>+요약!K22</f>
        <v>383</v>
      </c>
      <c r="J16" s="6">
        <f>+요약!L22</f>
        <v>106</v>
      </c>
    </row>
    <row r="17" spans="1:10" ht="15" customHeight="1" x14ac:dyDescent="0.25">
      <c r="A17" s="13">
        <f>+요약!C23</f>
        <v>13</v>
      </c>
      <c r="B17" s="6">
        <f>+요약!D23</f>
        <v>547</v>
      </c>
      <c r="C17" s="6">
        <f>+요약!E23</f>
        <v>90</v>
      </c>
      <c r="D17" s="6">
        <f>+요약!F23</f>
        <v>38</v>
      </c>
      <c r="E17" s="6">
        <f>+요약!G23</f>
        <v>569</v>
      </c>
      <c r="F17" s="6">
        <f>+요약!H23</f>
        <v>226</v>
      </c>
      <c r="G17" s="6">
        <f>+요약!I23</f>
        <v>339</v>
      </c>
      <c r="H17" s="6">
        <f>+요약!J23</f>
        <v>85</v>
      </c>
      <c r="I17" s="6">
        <f>+요약!K23</f>
        <v>404</v>
      </c>
      <c r="J17" s="6">
        <f>+요약!L23</f>
        <v>109</v>
      </c>
    </row>
    <row r="18" spans="1:10" ht="15" customHeight="1" x14ac:dyDescent="0.25">
      <c r="A18" s="13">
        <f>+요약!C24</f>
        <v>14</v>
      </c>
      <c r="B18" s="6">
        <f>+요약!D24</f>
        <v>572</v>
      </c>
      <c r="C18" s="6">
        <f>+요약!E24</f>
        <v>104</v>
      </c>
      <c r="D18" s="6">
        <f>+요약!F24</f>
        <v>72</v>
      </c>
      <c r="E18" s="6">
        <f>+요약!G24</f>
        <v>470</v>
      </c>
      <c r="F18" s="6">
        <f>+요약!H24</f>
        <v>181</v>
      </c>
      <c r="G18" s="6">
        <f>+요약!I24</f>
        <v>415</v>
      </c>
      <c r="H18" s="6">
        <f>+요약!J24</f>
        <v>84</v>
      </c>
      <c r="I18" s="6">
        <f>+요약!K24</f>
        <v>371</v>
      </c>
      <c r="J18" s="6">
        <f>+요약!L24</f>
        <v>102</v>
      </c>
    </row>
    <row r="19" spans="1:10" ht="15" customHeight="1" x14ac:dyDescent="0.25">
      <c r="A19" s="13">
        <f>+요약!C25</f>
        <v>15</v>
      </c>
      <c r="B19" s="6">
        <f>+요약!D25</f>
        <v>450</v>
      </c>
      <c r="C19" s="6">
        <f>+요약!E25</f>
        <v>99</v>
      </c>
      <c r="D19" s="6">
        <f>+요약!F25</f>
        <v>44</v>
      </c>
      <c r="E19" s="6">
        <f>+요약!G25</f>
        <v>131</v>
      </c>
      <c r="F19" s="6">
        <f>+요약!H25</f>
        <v>221</v>
      </c>
      <c r="G19" s="6">
        <f>+요약!I25</f>
        <v>1098</v>
      </c>
      <c r="H19" s="6">
        <f>+요약!J25</f>
        <v>111</v>
      </c>
      <c r="I19" s="6">
        <f>+요약!K25</f>
        <v>126</v>
      </c>
      <c r="J19" s="6">
        <f>+요약!L25</f>
        <v>413</v>
      </c>
    </row>
    <row r="20" spans="1:10" ht="15" customHeight="1" x14ac:dyDescent="0.25">
      <c r="A20" s="13">
        <f>+요약!C26</f>
        <v>16</v>
      </c>
      <c r="B20" s="6">
        <f>+요약!D26</f>
        <v>676</v>
      </c>
      <c r="C20" s="6">
        <f>+요약!E26</f>
        <v>281</v>
      </c>
      <c r="D20" s="6">
        <f>+요약!F26</f>
        <v>82</v>
      </c>
      <c r="E20" s="6">
        <f>+요약!G26</f>
        <v>137</v>
      </c>
      <c r="F20" s="6">
        <f>+요약!H26</f>
        <v>453</v>
      </c>
      <c r="G20" s="6">
        <f>+요약!I26</f>
        <v>959</v>
      </c>
      <c r="H20" s="6">
        <f>+요약!J26</f>
        <v>107</v>
      </c>
      <c r="I20" s="6">
        <f>+요약!K26</f>
        <v>99</v>
      </c>
      <c r="J20" s="6">
        <f>+요약!L26</f>
        <v>282</v>
      </c>
    </row>
    <row r="21" spans="1:10" ht="15" customHeight="1" x14ac:dyDescent="0.25">
      <c r="A21" s="13">
        <f>+요약!C27</f>
        <v>17</v>
      </c>
      <c r="B21" s="6">
        <f>+요약!D27</f>
        <v>1741</v>
      </c>
      <c r="C21" s="6">
        <f>+요약!E27</f>
        <v>236</v>
      </c>
      <c r="D21" s="6">
        <f>+요약!F27</f>
        <v>331</v>
      </c>
      <c r="E21" s="6">
        <f>+요약!G27</f>
        <v>174</v>
      </c>
      <c r="F21" s="6">
        <f>+요약!H27</f>
        <v>438</v>
      </c>
      <c r="G21" s="6">
        <f>+요약!I27</f>
        <v>395</v>
      </c>
      <c r="H21" s="6">
        <f>+요약!J27</f>
        <v>134</v>
      </c>
      <c r="I21" s="6">
        <f>+요약!K27</f>
        <v>236</v>
      </c>
      <c r="J21" s="6">
        <f>+요약!L27</f>
        <v>114</v>
      </c>
    </row>
    <row r="22" spans="1:10" ht="15" customHeight="1" x14ac:dyDescent="0.25">
      <c r="A22" s="13">
        <f>+요약!C28</f>
        <v>18</v>
      </c>
      <c r="B22" s="6">
        <f>+요약!D28</f>
        <v>1210</v>
      </c>
      <c r="C22" s="6">
        <f>+요약!E28</f>
        <v>105</v>
      </c>
      <c r="D22" s="6">
        <f>+요약!F28</f>
        <v>265</v>
      </c>
      <c r="E22" s="6">
        <f>+요약!G28</f>
        <v>119</v>
      </c>
      <c r="F22" s="6">
        <f>+요약!H28</f>
        <v>474</v>
      </c>
      <c r="G22" s="6">
        <f>+요약!I28</f>
        <v>350</v>
      </c>
      <c r="H22" s="6">
        <f>+요약!J28</f>
        <v>213</v>
      </c>
      <c r="I22" s="6">
        <f>+요약!K28</f>
        <v>189</v>
      </c>
      <c r="J22" s="6">
        <f>+요약!L28</f>
        <v>109</v>
      </c>
    </row>
    <row r="23" spans="1:10" ht="15" customHeight="1" x14ac:dyDescent="0.25">
      <c r="A23" s="13">
        <f>+요약!C29</f>
        <v>19</v>
      </c>
      <c r="B23" s="6">
        <f>+요약!D29</f>
        <v>649</v>
      </c>
      <c r="C23" s="6">
        <f>+요약!E29</f>
        <v>93</v>
      </c>
      <c r="D23" s="6">
        <f>+요약!F29</f>
        <v>0</v>
      </c>
      <c r="E23" s="6">
        <f>+요약!G29</f>
        <v>230</v>
      </c>
      <c r="F23" s="6">
        <f>+요약!H29</f>
        <v>215</v>
      </c>
      <c r="G23" s="6">
        <f>+요약!I29</f>
        <v>424</v>
      </c>
      <c r="H23" s="6">
        <f>+요약!J29</f>
        <v>184</v>
      </c>
      <c r="I23" s="6">
        <f>+요약!K29</f>
        <v>567</v>
      </c>
      <c r="J23" s="6">
        <f>+요약!L29</f>
        <v>125</v>
      </c>
    </row>
    <row r="24" spans="1:10" ht="15" customHeight="1" x14ac:dyDescent="0.25">
      <c r="A24" s="13">
        <f>+요약!C30</f>
        <v>20</v>
      </c>
      <c r="B24" s="6">
        <f>+요약!D30</f>
        <v>491</v>
      </c>
      <c r="C24" s="6">
        <f>+요약!E30</f>
        <v>217</v>
      </c>
      <c r="D24" s="6">
        <f>+요약!F30</f>
        <v>60</v>
      </c>
      <c r="E24" s="6">
        <f>+요약!G30</f>
        <v>661</v>
      </c>
      <c r="F24" s="6">
        <f>+요약!H30</f>
        <v>155</v>
      </c>
      <c r="G24" s="6">
        <f>+요약!I30</f>
        <v>407</v>
      </c>
      <c r="H24" s="6">
        <f>+요약!J30</f>
        <v>59</v>
      </c>
      <c r="I24" s="6">
        <f>+요약!K30</f>
        <v>341</v>
      </c>
      <c r="J24" s="6">
        <f>+요약!L30</f>
        <v>86</v>
      </c>
    </row>
    <row r="25" spans="1:10" ht="15" customHeight="1" x14ac:dyDescent="0.25">
      <c r="A25" s="13">
        <f>+요약!C31</f>
        <v>21</v>
      </c>
      <c r="B25" s="6">
        <f>+요약!D31</f>
        <v>694</v>
      </c>
      <c r="C25" s="6">
        <f>+요약!E31</f>
        <v>121</v>
      </c>
      <c r="D25" s="6">
        <f>+요약!F31</f>
        <v>65</v>
      </c>
      <c r="E25" s="6">
        <f>+요약!G31</f>
        <v>559</v>
      </c>
      <c r="F25" s="6">
        <f>+요약!H31</f>
        <v>183</v>
      </c>
      <c r="G25" s="6">
        <f>+요약!I31</f>
        <v>462</v>
      </c>
      <c r="H25" s="6">
        <f>+요약!J31</f>
        <v>100</v>
      </c>
      <c r="I25" s="6">
        <f>+요약!K31</f>
        <v>0</v>
      </c>
      <c r="J25" s="6">
        <f>+요약!L31</f>
        <v>154</v>
      </c>
    </row>
    <row r="26" spans="1:10" ht="15" customHeight="1" x14ac:dyDescent="0.25">
      <c r="A26" s="13">
        <f>+요약!C32</f>
        <v>22</v>
      </c>
      <c r="B26" s="6">
        <f>+요약!D32</f>
        <v>558</v>
      </c>
      <c r="C26" s="6">
        <f>+요약!E32</f>
        <v>76</v>
      </c>
      <c r="D26" s="6">
        <f>+요약!F32</f>
        <v>64</v>
      </c>
      <c r="E26" s="6">
        <f>+요약!G32</f>
        <v>202</v>
      </c>
      <c r="F26" s="6">
        <f>+요약!H32</f>
        <v>226</v>
      </c>
      <c r="G26" s="6">
        <f>+요약!I32</f>
        <v>1337</v>
      </c>
      <c r="H26" s="6">
        <f>+요약!J32</f>
        <v>73</v>
      </c>
      <c r="I26" s="6">
        <f>+요약!K32</f>
        <v>114</v>
      </c>
      <c r="J26" s="6">
        <f>+요약!L32</f>
        <v>358</v>
      </c>
    </row>
    <row r="27" spans="1:10" ht="15" customHeight="1" x14ac:dyDescent="0.25">
      <c r="A27" s="13">
        <f>+요약!C33</f>
        <v>23</v>
      </c>
      <c r="B27" s="6">
        <f>+요약!D33</f>
        <v>765</v>
      </c>
      <c r="C27" s="6">
        <f>+요약!E33</f>
        <v>283</v>
      </c>
      <c r="D27" s="6">
        <f>+요약!F33</f>
        <v>110</v>
      </c>
      <c r="E27" s="6">
        <f>+요약!G33</f>
        <v>184</v>
      </c>
      <c r="F27" s="6">
        <f>+요약!H33</f>
        <v>507</v>
      </c>
      <c r="G27" s="6">
        <f>+요약!I33</f>
        <v>928</v>
      </c>
      <c r="H27" s="6">
        <f>+요약!J33</f>
        <v>97</v>
      </c>
      <c r="I27" s="6">
        <f>+요약!K33</f>
        <v>129</v>
      </c>
      <c r="J27" s="6">
        <f>+요약!L33</f>
        <v>298</v>
      </c>
    </row>
    <row r="28" spans="1:10" ht="15" customHeight="1" x14ac:dyDescent="0.25">
      <c r="A28" s="13">
        <f>+요약!C34</f>
        <v>24</v>
      </c>
      <c r="B28" s="6">
        <f>+요약!D34</f>
        <v>1617</v>
      </c>
      <c r="C28" s="6">
        <f>+요약!E34</f>
        <v>229</v>
      </c>
      <c r="D28" s="6">
        <f>+요약!F34</f>
        <v>320</v>
      </c>
      <c r="E28" s="6">
        <f>+요약!G34</f>
        <v>128</v>
      </c>
      <c r="F28" s="6">
        <f>+요약!H34</f>
        <v>395</v>
      </c>
      <c r="G28" s="6">
        <f>+요약!I34</f>
        <v>420</v>
      </c>
      <c r="H28" s="6">
        <f>+요약!J34</f>
        <v>112</v>
      </c>
      <c r="I28" s="6">
        <f>+요약!K34</f>
        <v>159</v>
      </c>
      <c r="J28" s="6">
        <f>+요약!L34</f>
        <v>101</v>
      </c>
    </row>
    <row r="29" spans="1:10" ht="15" customHeight="1" x14ac:dyDescent="0.25">
      <c r="A29" s="13">
        <f>+요약!C35</f>
        <v>25</v>
      </c>
      <c r="B29" s="6">
        <f>+요약!D35</f>
        <v>1241</v>
      </c>
      <c r="C29" s="6">
        <f>+요약!E35</f>
        <v>80</v>
      </c>
      <c r="D29" s="6">
        <f>+요약!F35</f>
        <v>280</v>
      </c>
      <c r="E29" s="6">
        <f>+요약!G35</f>
        <v>160</v>
      </c>
      <c r="F29" s="6">
        <f>+요약!H35</f>
        <v>30</v>
      </c>
      <c r="G29" s="6">
        <f>+요약!I35</f>
        <v>382</v>
      </c>
      <c r="H29" s="6">
        <f>+요약!J35</f>
        <v>266</v>
      </c>
      <c r="I29" s="6">
        <f>+요약!K35</f>
        <v>203</v>
      </c>
      <c r="J29" s="6">
        <f>+요약!L35</f>
        <v>116</v>
      </c>
    </row>
    <row r="30" spans="1:10" ht="15" customHeight="1" x14ac:dyDescent="0.25">
      <c r="A30" s="13">
        <f>+요약!C36</f>
        <v>26</v>
      </c>
      <c r="B30" s="6">
        <f>+요약!D36</f>
        <v>480</v>
      </c>
      <c r="C30" s="6">
        <f>+요약!E36</f>
        <v>56</v>
      </c>
      <c r="D30" s="6">
        <f>+요약!F36</f>
        <v>78</v>
      </c>
      <c r="E30" s="6">
        <f>+요약!G36</f>
        <v>203</v>
      </c>
      <c r="F30" s="6">
        <f>+요약!H36</f>
        <v>210</v>
      </c>
      <c r="G30" s="6">
        <f>+요약!I36</f>
        <v>365</v>
      </c>
      <c r="H30" s="6">
        <f>+요약!J36</f>
        <v>204</v>
      </c>
      <c r="I30" s="6">
        <f>+요약!K36</f>
        <v>525</v>
      </c>
      <c r="J30" s="6">
        <f>+요약!L36</f>
        <v>176</v>
      </c>
    </row>
    <row r="31" spans="1:10" ht="15" customHeight="1" x14ac:dyDescent="0.25">
      <c r="A31" s="13">
        <f>+요약!C37</f>
        <v>27</v>
      </c>
      <c r="B31" s="6">
        <f>+요약!D37</f>
        <v>566</v>
      </c>
      <c r="C31" s="6">
        <f>+요약!E37</f>
        <v>55</v>
      </c>
      <c r="D31" s="6">
        <f>+요약!F37</f>
        <v>54</v>
      </c>
      <c r="E31" s="6">
        <f>+요약!G37</f>
        <v>841</v>
      </c>
      <c r="F31" s="6">
        <f>+요약!H37</f>
        <v>194</v>
      </c>
      <c r="G31" s="6">
        <f>+요약!I37</f>
        <v>319</v>
      </c>
      <c r="H31" s="6">
        <f>+요약!J37</f>
        <v>200</v>
      </c>
      <c r="I31" s="6">
        <f>+요약!K37</f>
        <v>353</v>
      </c>
      <c r="J31" s="6">
        <f>+요약!L37</f>
        <v>126</v>
      </c>
    </row>
    <row r="32" spans="1:10" ht="15" customHeight="1" x14ac:dyDescent="0.25">
      <c r="A32" s="13">
        <f>+요약!C38</f>
        <v>28</v>
      </c>
      <c r="B32" s="6">
        <f>+요약!D38</f>
        <v>616</v>
      </c>
      <c r="C32" s="6">
        <f>+요약!E38</f>
        <v>61</v>
      </c>
      <c r="D32" s="6">
        <f>+요약!F38</f>
        <v>176</v>
      </c>
      <c r="E32" s="6">
        <f>+요약!G38</f>
        <v>701</v>
      </c>
      <c r="F32" s="6">
        <f>+요약!H38</f>
        <v>212</v>
      </c>
      <c r="G32" s="6">
        <f>+요약!I38</f>
        <v>510</v>
      </c>
      <c r="H32" s="6">
        <f>+요약!J38</f>
        <v>68</v>
      </c>
      <c r="I32" s="6">
        <f>+요약!K38</f>
        <v>163</v>
      </c>
      <c r="J32" s="6">
        <f>+요약!L38</f>
        <v>130</v>
      </c>
    </row>
    <row r="33" spans="1:10" ht="15" customHeight="1" x14ac:dyDescent="0.25">
      <c r="A33" s="13">
        <f>+요약!C39</f>
        <v>29</v>
      </c>
      <c r="B33" s="6">
        <f>+요약!D39</f>
        <v>549</v>
      </c>
      <c r="C33" s="6">
        <f>+요약!E39</f>
        <v>86</v>
      </c>
      <c r="D33" s="6">
        <f>+요약!F39</f>
        <v>55</v>
      </c>
      <c r="E33" s="6">
        <f>+요약!G39</f>
        <v>250</v>
      </c>
      <c r="F33" s="6">
        <f>+요약!H39</f>
        <v>296</v>
      </c>
      <c r="G33" s="6">
        <f>+요약!I39</f>
        <v>0</v>
      </c>
      <c r="H33" s="6">
        <f>+요약!J39</f>
        <v>128</v>
      </c>
      <c r="I33" s="6">
        <f>+요약!K39</f>
        <v>105</v>
      </c>
      <c r="J33" s="6">
        <f>+요약!L39</f>
        <v>347</v>
      </c>
    </row>
    <row r="34" spans="1:10" ht="15" customHeight="1" x14ac:dyDescent="0.25">
      <c r="A34" s="13">
        <f>+요약!C40</f>
        <v>30</v>
      </c>
      <c r="B34" s="6">
        <f>+요약!D40</f>
        <v>740</v>
      </c>
      <c r="C34" s="6">
        <f>+요약!E40</f>
        <v>283</v>
      </c>
      <c r="D34" s="6">
        <f>+요약!F40</f>
        <v>134</v>
      </c>
      <c r="E34" s="6">
        <f>+요약!G40</f>
        <v>240</v>
      </c>
      <c r="F34" s="6">
        <f>+요약!H40</f>
        <v>602</v>
      </c>
      <c r="G34" s="6">
        <f>+요약!I40</f>
        <v>0</v>
      </c>
      <c r="H34" s="6">
        <f>+요약!J40</f>
        <v>54</v>
      </c>
      <c r="I34" s="6">
        <f>+요약!K40</f>
        <v>130</v>
      </c>
      <c r="J34" s="6">
        <f>+요약!L40</f>
        <v>258</v>
      </c>
    </row>
    <row r="35" spans="1:10" ht="15" customHeight="1" x14ac:dyDescent="0.25">
      <c r="A35" s="13">
        <f>+요약!C41</f>
        <v>31</v>
      </c>
      <c r="B35" s="6">
        <f>+요약!D41</f>
        <v>1556</v>
      </c>
      <c r="C35" s="6">
        <f>+요약!E41</f>
        <v>281</v>
      </c>
      <c r="D35" s="6">
        <f>+요약!F41</f>
        <v>349</v>
      </c>
      <c r="E35" s="6">
        <f>+요약!G41</f>
        <v>419</v>
      </c>
      <c r="F35" s="6">
        <f>+요약!H41</f>
        <v>577</v>
      </c>
      <c r="G35" s="6">
        <f>+요약!I41</f>
        <v>809</v>
      </c>
      <c r="H35" s="6">
        <f>+요약!J41</f>
        <v>122</v>
      </c>
      <c r="I35" s="6">
        <f>+요약!K41</f>
        <v>120</v>
      </c>
      <c r="J35" s="6">
        <f>+요약!L41</f>
        <v>105</v>
      </c>
    </row>
    <row r="36" spans="1:10" ht="15" customHeight="1" x14ac:dyDescent="0.25">
      <c r="A36" s="13">
        <f>+요약!C42</f>
        <v>32</v>
      </c>
      <c r="B36" s="6">
        <f>+요약!D42</f>
        <v>1267</v>
      </c>
      <c r="C36" s="6">
        <f>+요약!E42</f>
        <v>60</v>
      </c>
      <c r="D36" s="6">
        <f>+요약!F42</f>
        <v>407</v>
      </c>
      <c r="E36" s="6">
        <f>+요약!G42</f>
        <v>457</v>
      </c>
      <c r="F36" s="6">
        <f>+요약!H42</f>
        <v>254</v>
      </c>
      <c r="G36" s="6">
        <f>+요약!I42</f>
        <v>694</v>
      </c>
      <c r="H36" s="6">
        <f>+요약!J42</f>
        <v>157</v>
      </c>
      <c r="I36" s="6">
        <f>+요약!K42</f>
        <v>177</v>
      </c>
      <c r="J36" s="6">
        <f>+요약!L42</f>
        <v>90</v>
      </c>
    </row>
    <row r="37" spans="1:10" ht="15" customHeight="1" x14ac:dyDescent="0.25">
      <c r="A37" s="13">
        <f>+요약!C43</f>
        <v>33</v>
      </c>
      <c r="B37" s="6">
        <f>+요약!D43</f>
        <v>719</v>
      </c>
      <c r="C37" s="6">
        <f>+요약!E43</f>
        <v>83</v>
      </c>
      <c r="D37" s="6">
        <f>+요약!F43</f>
        <v>60</v>
      </c>
      <c r="E37" s="6">
        <f>+요약!G43</f>
        <v>210</v>
      </c>
      <c r="F37" s="6">
        <f>+요약!H43</f>
        <v>212</v>
      </c>
      <c r="G37" s="6">
        <f>+요약!I43</f>
        <v>424</v>
      </c>
      <c r="H37" s="6">
        <f>+요약!J43</f>
        <v>164</v>
      </c>
      <c r="I37" s="6">
        <f>+요약!K43</f>
        <v>326</v>
      </c>
      <c r="J37" s="6">
        <f>+요약!L43</f>
        <v>150</v>
      </c>
    </row>
    <row r="38" spans="1:10" ht="15" customHeight="1" x14ac:dyDescent="0.25">
      <c r="A38" s="13">
        <f>+요약!C44</f>
        <v>34</v>
      </c>
      <c r="B38" s="6">
        <f>+요약!D44</f>
        <v>500</v>
      </c>
      <c r="C38" s="6">
        <f>+요약!E44</f>
        <v>248</v>
      </c>
      <c r="D38" s="6">
        <f>+요약!F44</f>
        <v>61</v>
      </c>
      <c r="E38" s="6">
        <f>+요약!G44</f>
        <v>558</v>
      </c>
      <c r="F38" s="6">
        <f>+요약!H44</f>
        <v>349</v>
      </c>
      <c r="G38" s="6">
        <f>+요약!I44</f>
        <v>406</v>
      </c>
      <c r="H38" s="6">
        <f>+요약!J44</f>
        <v>125</v>
      </c>
      <c r="I38" s="6">
        <f>+요약!K44</f>
        <v>320</v>
      </c>
      <c r="J38" s="6">
        <f>+요약!L44</f>
        <v>160</v>
      </c>
    </row>
    <row r="39" spans="1:10" ht="15" customHeight="1" x14ac:dyDescent="0.25">
      <c r="A39" s="13">
        <f>+요약!C45</f>
        <v>35</v>
      </c>
      <c r="B39" s="6">
        <f>+요약!D45</f>
        <v>715</v>
      </c>
      <c r="C39" s="6">
        <f>+요약!E45</f>
        <v>65</v>
      </c>
      <c r="D39" s="6">
        <f>+요약!F45</f>
        <v>96</v>
      </c>
      <c r="E39" s="6">
        <f>+요약!G45</f>
        <v>423</v>
      </c>
      <c r="F39" s="6">
        <f>+요약!H45</f>
        <v>87</v>
      </c>
      <c r="G39" s="6">
        <f>+요약!I45</f>
        <v>592</v>
      </c>
      <c r="H39" s="6">
        <f>+요약!J45</f>
        <v>131</v>
      </c>
      <c r="I39" s="6">
        <f>+요약!K45</f>
        <v>94</v>
      </c>
      <c r="J39" s="6">
        <f>+요약!L45</f>
        <v>117</v>
      </c>
    </row>
    <row r="40" spans="1:10" ht="15" customHeight="1" x14ac:dyDescent="0.25">
      <c r="A40" s="13">
        <f>+요약!C46</f>
        <v>36</v>
      </c>
      <c r="B40" s="6">
        <f>+요약!D46</f>
        <v>606</v>
      </c>
      <c r="C40" s="6">
        <f>+요약!E46</f>
        <v>192</v>
      </c>
      <c r="D40" s="6">
        <f>+요약!F46</f>
        <v>85</v>
      </c>
      <c r="E40" s="6">
        <f>+요약!G46</f>
        <v>160</v>
      </c>
      <c r="F40" s="6">
        <f>+요약!H46</f>
        <v>163</v>
      </c>
      <c r="G40" s="6">
        <f>+요약!I46</f>
        <v>1310</v>
      </c>
      <c r="H40" s="6">
        <f>+요약!J46</f>
        <v>83</v>
      </c>
      <c r="I40" s="6">
        <f>+요약!K46</f>
        <v>122</v>
      </c>
      <c r="J40" s="6">
        <f>+요약!L46</f>
        <v>389</v>
      </c>
    </row>
    <row r="41" spans="1:10" ht="15" customHeight="1" x14ac:dyDescent="0.25">
      <c r="A41" s="13">
        <f>+요약!C47</f>
        <v>37</v>
      </c>
      <c r="B41" s="6">
        <f>+요약!D47</f>
        <v>985</v>
      </c>
      <c r="C41" s="6">
        <f>+요약!E47</f>
        <v>354</v>
      </c>
      <c r="D41" s="6">
        <f>+요약!F47</f>
        <v>155</v>
      </c>
      <c r="E41" s="6">
        <f>+요약!G47</f>
        <v>194</v>
      </c>
      <c r="F41" s="6">
        <f>+요약!H47</f>
        <v>373</v>
      </c>
      <c r="G41" s="6">
        <f>+요약!I47</f>
        <v>1277</v>
      </c>
      <c r="H41" s="6">
        <f>+요약!J47</f>
        <v>97</v>
      </c>
      <c r="I41" s="6">
        <f>+요약!K47</f>
        <v>127</v>
      </c>
      <c r="J41" s="6">
        <f>+요약!L47</f>
        <v>251</v>
      </c>
    </row>
    <row r="42" spans="1:10" ht="15" customHeight="1" x14ac:dyDescent="0.25">
      <c r="A42" s="13">
        <f>+요약!C48</f>
        <v>38</v>
      </c>
      <c r="B42" s="6">
        <f>+요약!D48</f>
        <v>1776</v>
      </c>
      <c r="C42" s="6">
        <f>+요약!E48</f>
        <v>224</v>
      </c>
      <c r="D42" s="6">
        <f>+요약!F48</f>
        <v>372</v>
      </c>
      <c r="E42" s="6">
        <f>+요약!G48</f>
        <v>163</v>
      </c>
      <c r="F42" s="6">
        <f>+요약!H48</f>
        <v>275</v>
      </c>
      <c r="G42" s="6">
        <f>+요약!I48</f>
        <v>695</v>
      </c>
      <c r="H42" s="6">
        <f>+요약!J48</f>
        <v>68</v>
      </c>
      <c r="I42" s="6">
        <f>+요약!K48</f>
        <v>95</v>
      </c>
      <c r="J42" s="6">
        <f>+요약!L48</f>
        <v>88</v>
      </c>
    </row>
    <row r="43" spans="1:10" ht="15" customHeight="1" x14ac:dyDescent="0.25">
      <c r="A43" s="13">
        <f>+요약!C49</f>
        <v>39</v>
      </c>
      <c r="B43" s="6">
        <f>+요약!D49</f>
        <v>1300</v>
      </c>
      <c r="C43" s="6">
        <f>+요약!E49</f>
        <v>0</v>
      </c>
      <c r="D43" s="6">
        <f>+요약!F49</f>
        <v>355</v>
      </c>
      <c r="E43" s="6">
        <f>+요약!G49</f>
        <v>182</v>
      </c>
      <c r="F43" s="6">
        <f>+요약!H49</f>
        <v>96</v>
      </c>
      <c r="G43" s="6">
        <f>+요약!I49</f>
        <v>677</v>
      </c>
      <c r="H43" s="6">
        <f>+요약!J49</f>
        <v>195</v>
      </c>
      <c r="I43" s="6">
        <f>+요약!K49</f>
        <v>151</v>
      </c>
      <c r="J43" s="6">
        <f>+요약!L49</f>
        <v>103</v>
      </c>
    </row>
    <row r="44" spans="1:10" ht="15" customHeight="1" x14ac:dyDescent="0.25">
      <c r="A44" s="13">
        <f>+요약!C50</f>
        <v>40</v>
      </c>
      <c r="B44" s="6">
        <f>+요약!D50</f>
        <v>617</v>
      </c>
      <c r="C44" s="6">
        <f>+요약!E50</f>
        <v>99</v>
      </c>
      <c r="D44" s="6">
        <f>+요약!F50</f>
        <v>0</v>
      </c>
      <c r="E44" s="6">
        <f>+요약!G50</f>
        <v>274</v>
      </c>
      <c r="F44" s="6">
        <f>+요약!H50</f>
        <v>76</v>
      </c>
      <c r="G44" s="6">
        <f>+요약!I50</f>
        <v>198</v>
      </c>
      <c r="H44" s="6">
        <f>+요약!J50</f>
        <v>158</v>
      </c>
      <c r="I44" s="6">
        <f>+요약!K50</f>
        <v>487</v>
      </c>
      <c r="J44" s="6">
        <f>+요약!L50</f>
        <v>147</v>
      </c>
    </row>
    <row r="45" spans="1:10" ht="15" customHeight="1" x14ac:dyDescent="0.25">
      <c r="A45" s="13">
        <f>+요약!C51</f>
        <v>41</v>
      </c>
      <c r="B45" s="6">
        <f>+요약!D51</f>
        <v>579</v>
      </c>
      <c r="C45" s="6">
        <f>+요약!E51</f>
        <v>105</v>
      </c>
      <c r="D45" s="6">
        <f>+요약!F51</f>
        <v>106</v>
      </c>
      <c r="E45" s="6">
        <f>+요약!G51</f>
        <v>656</v>
      </c>
      <c r="F45" s="6">
        <f>+요약!H51</f>
        <v>138</v>
      </c>
      <c r="G45" s="6">
        <f>+요약!I51</f>
        <v>186</v>
      </c>
      <c r="H45" s="6">
        <f>+요약!J51</f>
        <v>25</v>
      </c>
      <c r="I45" s="6">
        <f>+요약!K51</f>
        <v>427</v>
      </c>
      <c r="J45" s="6">
        <f>+요약!L51</f>
        <v>116</v>
      </c>
    </row>
    <row r="46" spans="1:10" ht="15" customHeight="1" x14ac:dyDescent="0.25">
      <c r="A46" s="13">
        <f>+요약!C52</f>
        <v>42</v>
      </c>
      <c r="B46" s="6">
        <f>+요약!D52</f>
        <v>697</v>
      </c>
      <c r="C46" s="6">
        <f>+요약!E52</f>
        <v>51</v>
      </c>
      <c r="D46" s="6">
        <f>+요약!F52</f>
        <v>157</v>
      </c>
      <c r="E46" s="6">
        <f>+요약!G52</f>
        <v>406</v>
      </c>
      <c r="F46" s="6">
        <f>+요약!H52</f>
        <v>127</v>
      </c>
      <c r="G46" s="6">
        <f>+요약!I52</f>
        <v>256</v>
      </c>
      <c r="H46" s="6">
        <f>+요약!J52</f>
        <v>122</v>
      </c>
      <c r="I46" s="6">
        <f>+요약!K52</f>
        <v>0</v>
      </c>
      <c r="J46" s="6">
        <f>+요약!L52</f>
        <v>308</v>
      </c>
    </row>
    <row r="47" spans="1:10" ht="15" customHeight="1" x14ac:dyDescent="0.25">
      <c r="A47" s="13">
        <f>+요약!C53</f>
        <v>43</v>
      </c>
      <c r="B47" s="6">
        <f>+요약!D53</f>
        <v>561</v>
      </c>
      <c r="C47" s="6">
        <f>+요약!E53</f>
        <v>76</v>
      </c>
      <c r="D47" s="6">
        <f>+요약!F53</f>
        <v>133</v>
      </c>
      <c r="E47" s="6">
        <f>+요약!G53</f>
        <v>173</v>
      </c>
      <c r="F47" s="6">
        <f>+요약!H53</f>
        <v>0</v>
      </c>
      <c r="G47" s="6">
        <f>+요약!I53</f>
        <v>638</v>
      </c>
      <c r="H47" s="6">
        <f>+요약!J53</f>
        <v>102</v>
      </c>
      <c r="I47" s="6">
        <f>+요약!K53</f>
        <v>135</v>
      </c>
      <c r="J47" s="6">
        <f>+요약!L53</f>
        <v>343</v>
      </c>
    </row>
    <row r="48" spans="1:10" ht="15" customHeight="1" x14ac:dyDescent="0.25">
      <c r="A48" s="13">
        <f>+요약!C54</f>
        <v>44</v>
      </c>
      <c r="B48" s="6">
        <f>+요약!D54</f>
        <v>755</v>
      </c>
      <c r="C48" s="6">
        <f>+요약!E54</f>
        <v>251</v>
      </c>
      <c r="D48" s="6">
        <f>+요약!F54</f>
        <v>177</v>
      </c>
      <c r="E48" s="6">
        <f>+요약!G54</f>
        <v>170</v>
      </c>
      <c r="F48" s="6">
        <f>+요약!H54</f>
        <v>0</v>
      </c>
      <c r="G48" s="6">
        <f>+요약!I54</f>
        <v>507</v>
      </c>
      <c r="H48" s="6">
        <f>+요약!J54</f>
        <v>74</v>
      </c>
      <c r="I48" s="6">
        <f>+요약!K54</f>
        <v>161</v>
      </c>
      <c r="J48" s="6">
        <f>+요약!L54</f>
        <v>302</v>
      </c>
    </row>
    <row r="49" spans="1:10" ht="15" customHeight="1" x14ac:dyDescent="0.25">
      <c r="A49" s="13">
        <f>+요약!C55</f>
        <v>45</v>
      </c>
      <c r="B49" s="6">
        <f>+요약!D55</f>
        <v>1461</v>
      </c>
      <c r="C49" s="6">
        <f>+요약!E55</f>
        <v>158</v>
      </c>
      <c r="D49" s="6">
        <f>+요약!F55</f>
        <v>465</v>
      </c>
      <c r="E49" s="6">
        <f>+요약!G55</f>
        <v>138</v>
      </c>
      <c r="F49" s="6">
        <f>+요약!H55</f>
        <v>295</v>
      </c>
      <c r="G49" s="6">
        <f>+요약!I55</f>
        <v>258</v>
      </c>
      <c r="H49" s="6">
        <f>+요약!J55</f>
        <v>159</v>
      </c>
      <c r="I49" s="6">
        <f>+요약!K55</f>
        <v>126</v>
      </c>
      <c r="J49" s="6">
        <f>+요약!L55</f>
        <v>143</v>
      </c>
    </row>
    <row r="50" spans="1:10" ht="15" customHeight="1" x14ac:dyDescent="0.25">
      <c r="A50" s="13">
        <f>+요약!C56</f>
        <v>46</v>
      </c>
      <c r="B50" s="6">
        <f>+요약!D56</f>
        <v>989</v>
      </c>
      <c r="C50" s="6">
        <f>+요약!E56</f>
        <v>51</v>
      </c>
      <c r="D50" s="6">
        <f>+요약!F56</f>
        <v>361</v>
      </c>
      <c r="E50" s="6">
        <f>+요약!G56</f>
        <v>157</v>
      </c>
      <c r="F50" s="6">
        <f>+요약!H56</f>
        <v>327</v>
      </c>
      <c r="G50" s="6">
        <f>+요약!I56</f>
        <v>245</v>
      </c>
      <c r="H50" s="6">
        <f>+요약!J56</f>
        <v>194</v>
      </c>
      <c r="I50" s="6">
        <f>+요약!K56</f>
        <v>153</v>
      </c>
      <c r="J50" s="6">
        <f>+요약!L56</f>
        <v>0</v>
      </c>
    </row>
    <row r="51" spans="1:10" ht="15" customHeight="1" x14ac:dyDescent="0.25">
      <c r="A51" s="13">
        <f>+요약!C57</f>
        <v>47</v>
      </c>
      <c r="B51" s="6">
        <f>+요약!D57</f>
        <v>512</v>
      </c>
      <c r="C51" s="6">
        <f>+요약!E57</f>
        <v>32</v>
      </c>
      <c r="D51" s="6">
        <f>+요약!F57</f>
        <v>123</v>
      </c>
      <c r="E51" s="6">
        <f>+요약!G57</f>
        <v>189</v>
      </c>
      <c r="F51" s="6">
        <f>+요약!H57</f>
        <v>77</v>
      </c>
      <c r="G51" s="6">
        <f>+요약!I57</f>
        <v>195</v>
      </c>
      <c r="H51" s="6">
        <f>+요약!J57</f>
        <v>154</v>
      </c>
      <c r="I51" s="6">
        <f>+요약!K57</f>
        <v>521</v>
      </c>
      <c r="J51" s="6">
        <f>+요약!L57</f>
        <v>0</v>
      </c>
    </row>
    <row r="52" spans="1:10" ht="15" customHeight="1" x14ac:dyDescent="0.25">
      <c r="A52" s="13">
        <f>+요약!C58</f>
        <v>48</v>
      </c>
      <c r="B52" s="6">
        <f>+요약!D58</f>
        <v>435</v>
      </c>
      <c r="C52" s="6">
        <f>+요약!E58</f>
        <v>36</v>
      </c>
      <c r="D52" s="6">
        <f>+요약!F58</f>
        <v>121</v>
      </c>
      <c r="E52" s="6">
        <f>+요약!G58</f>
        <v>466</v>
      </c>
      <c r="F52" s="6">
        <f>+요약!H58</f>
        <v>79</v>
      </c>
      <c r="G52" s="6">
        <f>+요약!I58</f>
        <v>190</v>
      </c>
      <c r="H52" s="6">
        <f>+요약!J58</f>
        <v>84</v>
      </c>
      <c r="I52" s="6">
        <f>+요약!K58</f>
        <v>523</v>
      </c>
      <c r="J52" s="6">
        <f>+요약!L58</f>
        <v>0</v>
      </c>
    </row>
    <row r="53" spans="1:10" ht="15" customHeight="1" x14ac:dyDescent="0.25">
      <c r="A53" s="13">
        <f>+요약!C59</f>
        <v>49</v>
      </c>
      <c r="B53" s="6">
        <f>+요약!D59</f>
        <v>435</v>
      </c>
      <c r="C53" s="6">
        <f>+요약!E59</f>
        <v>57</v>
      </c>
      <c r="D53" s="6">
        <f>+요약!F59</f>
        <v>118</v>
      </c>
      <c r="E53" s="6">
        <f>+요약!G59</f>
        <v>324</v>
      </c>
      <c r="F53" s="6">
        <f>+요약!H59</f>
        <v>198</v>
      </c>
      <c r="G53" s="6">
        <f>+요약!I59</f>
        <v>294</v>
      </c>
      <c r="H53" s="6">
        <f>+요약!J59</f>
        <v>62</v>
      </c>
      <c r="I53" s="6">
        <f>+요약!K59</f>
        <v>157</v>
      </c>
      <c r="J53" s="6">
        <f>+요약!L59</f>
        <v>0</v>
      </c>
    </row>
    <row r="54" spans="1:10" ht="15" customHeight="1" x14ac:dyDescent="0.25">
      <c r="A54" s="13">
        <f>+요약!C60</f>
        <v>50</v>
      </c>
      <c r="B54" s="6">
        <f>+요약!D60</f>
        <v>374</v>
      </c>
      <c r="C54" s="6">
        <f>+요약!E60</f>
        <v>68</v>
      </c>
      <c r="D54" s="6">
        <f>+요약!F60</f>
        <v>127</v>
      </c>
      <c r="E54" s="6">
        <f>+요약!G60</f>
        <v>0</v>
      </c>
      <c r="F54" s="6">
        <f>+요약!H60</f>
        <v>234</v>
      </c>
      <c r="G54" s="6">
        <f>+요약!I60</f>
        <v>638</v>
      </c>
      <c r="H54" s="6">
        <f>+요약!J60</f>
        <v>84</v>
      </c>
      <c r="I54" s="6">
        <f>+요약!K60</f>
        <v>102</v>
      </c>
      <c r="J54" s="6">
        <f>+요약!L60</f>
        <v>0</v>
      </c>
    </row>
    <row r="55" spans="1:10" ht="15" customHeight="1" x14ac:dyDescent="0.25">
      <c r="A55" s="13">
        <f>+요약!C61</f>
        <v>51</v>
      </c>
      <c r="B55" s="6">
        <f>+요약!D61</f>
        <v>410</v>
      </c>
      <c r="C55" s="6">
        <f>+요약!E61</f>
        <v>245</v>
      </c>
      <c r="D55" s="6">
        <f>+요약!F61</f>
        <v>244</v>
      </c>
      <c r="E55" s="6">
        <f>+요약!G61</f>
        <v>112</v>
      </c>
      <c r="F55" s="6">
        <f>+요약!H61</f>
        <v>317</v>
      </c>
      <c r="G55" s="6">
        <f>+요약!I61</f>
        <v>529</v>
      </c>
      <c r="H55" s="6">
        <f>+요약!J61</f>
        <v>140</v>
      </c>
      <c r="I55" s="6">
        <f>+요약!K61</f>
        <v>143</v>
      </c>
      <c r="J55" s="6">
        <f>+요약!L61</f>
        <v>0</v>
      </c>
    </row>
    <row r="56" spans="1:10" ht="15" customHeight="1" x14ac:dyDescent="0.25">
      <c r="A56" s="13">
        <f>+요약!C62</f>
        <v>52</v>
      </c>
      <c r="B56" s="6">
        <f>+요약!D62</f>
        <v>764</v>
      </c>
      <c r="C56" s="6">
        <f>+요약!E62</f>
        <v>158</v>
      </c>
      <c r="D56" s="6">
        <f>+요약!F62</f>
        <v>569</v>
      </c>
      <c r="E56" s="6">
        <f>+요약!G62</f>
        <v>126</v>
      </c>
      <c r="F56" s="6">
        <f>+요약!H62</f>
        <v>280</v>
      </c>
      <c r="G56" s="6">
        <f>+요약!I62</f>
        <v>280</v>
      </c>
      <c r="H56" s="6">
        <f>+요약!J62</f>
        <v>106</v>
      </c>
      <c r="I56" s="6">
        <f>+요약!K62</f>
        <v>125</v>
      </c>
      <c r="J56" s="6">
        <f>+요약!L62</f>
        <v>0</v>
      </c>
    </row>
    <row r="57" spans="1:10" ht="15" customHeight="1" x14ac:dyDescent="0.25">
      <c r="A57" s="13">
        <f>+요약!C63</f>
        <v>53</v>
      </c>
      <c r="B57" s="6">
        <f>+요약!D63</f>
        <v>650</v>
      </c>
      <c r="C57" s="6">
        <f>+요약!E63</f>
        <v>64</v>
      </c>
      <c r="D57" s="6">
        <f>+요약!F63</f>
        <v>527</v>
      </c>
      <c r="E57" s="6">
        <f>+요약!G63</f>
        <v>115</v>
      </c>
      <c r="F57" s="6">
        <f>+요약!H63</f>
        <v>125</v>
      </c>
      <c r="G57" s="6">
        <f>+요약!I63</f>
        <v>348</v>
      </c>
      <c r="H57" s="6">
        <f>+요약!J63</f>
        <v>189</v>
      </c>
      <c r="I57" s="6">
        <f>+요약!K63</f>
        <v>269</v>
      </c>
      <c r="J57" s="6">
        <f>+요약!L63</f>
        <v>0</v>
      </c>
    </row>
    <row r="58" spans="1:10" ht="15" customHeight="1" x14ac:dyDescent="0.25">
      <c r="A58" s="13">
        <f>+요약!C64</f>
        <v>54</v>
      </c>
      <c r="B58" s="6">
        <f>+요약!D64</f>
        <v>346</v>
      </c>
      <c r="C58" s="6">
        <f>+요약!E64</f>
        <v>89</v>
      </c>
      <c r="D58" s="6">
        <f>+요약!F64</f>
        <v>124</v>
      </c>
      <c r="E58" s="6">
        <f>+요약!G64</f>
        <v>154</v>
      </c>
      <c r="F58" s="6">
        <f>+요약!H64</f>
        <v>104</v>
      </c>
      <c r="G58" s="6">
        <f>+요약!I64</f>
        <v>241</v>
      </c>
      <c r="H58" s="6">
        <f>+요약!J64</f>
        <v>177</v>
      </c>
      <c r="I58" s="6">
        <f>+요약!K64</f>
        <v>502</v>
      </c>
      <c r="J58" s="6">
        <f>+요약!L64</f>
        <v>0</v>
      </c>
    </row>
    <row r="59" spans="1:10" ht="15" customHeight="1" x14ac:dyDescent="0.25">
      <c r="A59" s="13">
        <f>+요약!C65</f>
        <v>55</v>
      </c>
      <c r="B59" s="6">
        <f>+요약!D65</f>
        <v>240</v>
      </c>
      <c r="C59" s="6">
        <f>+요약!E65</f>
        <v>77</v>
      </c>
      <c r="D59" s="6">
        <f>+요약!F65</f>
        <v>202</v>
      </c>
      <c r="E59" s="6">
        <f>+요약!G65</f>
        <v>476</v>
      </c>
      <c r="F59" s="6">
        <f>+요약!H65</f>
        <v>120</v>
      </c>
      <c r="G59" s="6">
        <f>+요약!I65</f>
        <v>239</v>
      </c>
      <c r="H59" s="6">
        <f>+요약!J65</f>
        <v>65</v>
      </c>
      <c r="I59" s="6">
        <f>+요약!K65</f>
        <v>564</v>
      </c>
      <c r="J59" s="6">
        <f>+요약!L65</f>
        <v>0</v>
      </c>
    </row>
    <row r="60" spans="1:10" ht="15" customHeight="1" x14ac:dyDescent="0.25">
      <c r="A60" s="13">
        <f>+요약!C66</f>
        <v>56</v>
      </c>
      <c r="B60" s="6">
        <f>+요약!D66</f>
        <v>221</v>
      </c>
      <c r="C60" s="6">
        <f>+요약!E66</f>
        <v>84</v>
      </c>
      <c r="D60" s="6">
        <f>+요약!F66</f>
        <v>252</v>
      </c>
      <c r="E60" s="6">
        <f>+요약!G66</f>
        <v>264</v>
      </c>
      <c r="F60" s="6">
        <f>+요약!H66</f>
        <v>86</v>
      </c>
      <c r="G60" s="6">
        <f>+요약!I66</f>
        <v>273</v>
      </c>
      <c r="H60" s="6">
        <f>+요약!J66</f>
        <v>76</v>
      </c>
      <c r="I60" s="6">
        <f>+요약!K66</f>
        <v>135</v>
      </c>
      <c r="J60" s="6">
        <f>+요약!L66</f>
        <v>0</v>
      </c>
    </row>
    <row r="61" spans="1:10" ht="15" customHeight="1" x14ac:dyDescent="0.25">
      <c r="A61" s="13">
        <f>+요약!C67</f>
        <v>57</v>
      </c>
      <c r="B61" s="6">
        <f>+요약!D67</f>
        <v>301</v>
      </c>
      <c r="C61" s="6">
        <f>+요약!E67</f>
        <v>82</v>
      </c>
      <c r="D61" s="6">
        <f>+요약!F67</f>
        <v>122</v>
      </c>
      <c r="E61" s="6">
        <f>+요약!G67</f>
        <v>174</v>
      </c>
      <c r="F61" s="6">
        <f>+요약!H67</f>
        <v>147</v>
      </c>
      <c r="G61" s="6">
        <f>+요약!I67</f>
        <v>573</v>
      </c>
      <c r="H61" s="6">
        <f>+요약!J67</f>
        <v>150</v>
      </c>
      <c r="I61" s="6">
        <f>+요약!K67</f>
        <v>117</v>
      </c>
      <c r="J61" s="6">
        <f>+요약!L67</f>
        <v>0</v>
      </c>
    </row>
    <row r="62" spans="1:10" ht="15" customHeight="1" x14ac:dyDescent="0.25">
      <c r="A62" s="13">
        <f>+요약!C68</f>
        <v>58</v>
      </c>
      <c r="B62" s="6">
        <f>+요약!D68</f>
        <v>383</v>
      </c>
      <c r="C62" s="6">
        <f>+요약!E68</f>
        <v>313</v>
      </c>
      <c r="D62" s="6">
        <f>+요약!F68</f>
        <v>243</v>
      </c>
      <c r="E62" s="6">
        <f>+요약!G68</f>
        <v>124</v>
      </c>
      <c r="F62" s="6">
        <f>+요약!H68</f>
        <v>348</v>
      </c>
      <c r="G62" s="6">
        <f>+요약!I68</f>
        <v>504</v>
      </c>
      <c r="H62" s="6">
        <f>+요약!J68</f>
        <v>110</v>
      </c>
      <c r="I62" s="6">
        <f>+요약!K68</f>
        <v>157</v>
      </c>
      <c r="J62" s="6">
        <f>+요약!L68</f>
        <v>0</v>
      </c>
    </row>
    <row r="63" spans="1:10" ht="15" customHeight="1" x14ac:dyDescent="0.25">
      <c r="A63" s="13">
        <f>+요약!C69</f>
        <v>59</v>
      </c>
      <c r="B63" s="6">
        <f>+요약!D69</f>
        <v>534</v>
      </c>
      <c r="C63" s="6">
        <f>+요약!E69</f>
        <v>174</v>
      </c>
      <c r="D63" s="6">
        <f>+요약!F69</f>
        <v>561</v>
      </c>
      <c r="E63" s="6">
        <f>+요약!G69</f>
        <v>309</v>
      </c>
      <c r="F63" s="6">
        <f>+요약!H69</f>
        <v>262</v>
      </c>
      <c r="G63" s="6">
        <f>+요약!I69</f>
        <v>224</v>
      </c>
      <c r="H63" s="6">
        <f>+요약!J69</f>
        <v>145</v>
      </c>
      <c r="I63" s="6">
        <f>+요약!K69</f>
        <v>169</v>
      </c>
      <c r="J63" s="6">
        <f>+요약!L69</f>
        <v>0</v>
      </c>
    </row>
    <row r="64" spans="1:10" ht="15" customHeight="1" x14ac:dyDescent="0.25">
      <c r="A64" s="13">
        <f>+요약!C70</f>
        <v>60</v>
      </c>
      <c r="B64" s="6">
        <f>+요약!D70</f>
        <v>412</v>
      </c>
      <c r="C64" s="6">
        <f>+요약!E70</f>
        <v>0</v>
      </c>
      <c r="D64" s="6">
        <f>+요약!F70</f>
        <v>515</v>
      </c>
      <c r="E64" s="6">
        <f>+요약!G70</f>
        <v>228</v>
      </c>
      <c r="F64" s="6">
        <f>+요약!H70</f>
        <v>99</v>
      </c>
      <c r="G64" s="6">
        <f>+요약!I70</f>
        <v>196</v>
      </c>
      <c r="H64" s="6">
        <f>+요약!J70</f>
        <v>223</v>
      </c>
      <c r="I64" s="6">
        <f>+요약!K70</f>
        <v>263</v>
      </c>
      <c r="J64" s="6">
        <f>+요약!L70</f>
        <v>0</v>
      </c>
    </row>
    <row r="65" spans="1:10" ht="15" customHeight="1" x14ac:dyDescent="0.25">
      <c r="A65" s="13">
        <f>+요약!C71</f>
        <v>61</v>
      </c>
      <c r="B65" s="6">
        <f>+요약!D71</f>
        <v>217</v>
      </c>
      <c r="C65" s="6">
        <f>+요약!E71</f>
        <v>69</v>
      </c>
      <c r="D65" s="6">
        <f>+요약!F71</f>
        <v>179</v>
      </c>
      <c r="E65" s="6">
        <f>+요약!G71</f>
        <v>289</v>
      </c>
      <c r="F65" s="6">
        <f>+요약!H71</f>
        <v>87</v>
      </c>
      <c r="G65" s="6">
        <f>+요약!I71</f>
        <v>471</v>
      </c>
      <c r="H65" s="6">
        <f>+요약!J71</f>
        <v>318</v>
      </c>
      <c r="I65" s="6">
        <f>+요약!K71</f>
        <v>544</v>
      </c>
      <c r="J65" s="6">
        <f>+요약!L71</f>
        <v>0</v>
      </c>
    </row>
    <row r="66" spans="1:10" ht="15" customHeight="1" x14ac:dyDescent="0.25">
      <c r="A66" s="13">
        <f>+요약!C72</f>
        <v>62</v>
      </c>
      <c r="B66" s="6">
        <f>+요약!D72</f>
        <v>167</v>
      </c>
      <c r="C66" s="6">
        <f>+요약!E72</f>
        <v>62</v>
      </c>
      <c r="D66" s="6">
        <f>+요약!F72</f>
        <v>169</v>
      </c>
      <c r="E66" s="6">
        <f>+요약!G72</f>
        <v>564</v>
      </c>
      <c r="F66" s="6">
        <f>+요약!H72</f>
        <v>169</v>
      </c>
      <c r="G66" s="6">
        <f>+요약!I72</f>
        <v>228</v>
      </c>
      <c r="H66" s="6">
        <f>+요약!J72</f>
        <v>140</v>
      </c>
      <c r="I66" s="6">
        <f>+요약!K72</f>
        <v>532</v>
      </c>
      <c r="J66" s="6">
        <f>+요약!L72</f>
        <v>0</v>
      </c>
    </row>
    <row r="67" spans="1:10" ht="15" customHeight="1" x14ac:dyDescent="0.25">
      <c r="A67" s="13">
        <f>+요약!C73</f>
        <v>63</v>
      </c>
      <c r="B67" s="6">
        <f>+요약!D73</f>
        <v>187</v>
      </c>
      <c r="C67" s="6">
        <f>+요약!E73</f>
        <v>115</v>
      </c>
      <c r="D67" s="6">
        <f>+요약!F73</f>
        <v>216</v>
      </c>
      <c r="E67" s="6">
        <f>+요약!G73</f>
        <v>327</v>
      </c>
      <c r="F67" s="6">
        <f>+요약!H73</f>
        <v>73</v>
      </c>
      <c r="G67" s="6">
        <f>+요약!I73</f>
        <v>234</v>
      </c>
      <c r="H67" s="6">
        <f>+요약!J73</f>
        <v>81</v>
      </c>
      <c r="I67" s="6">
        <f>+요약!K73</f>
        <v>136</v>
      </c>
      <c r="J67" s="6">
        <f>+요약!L73</f>
        <v>0</v>
      </c>
    </row>
    <row r="68" spans="1:10" ht="15" customHeight="1" x14ac:dyDescent="0.25">
      <c r="A68" s="13">
        <f>+요약!C74</f>
        <v>64</v>
      </c>
      <c r="B68" s="6">
        <f>+요약!D74</f>
        <v>180</v>
      </c>
      <c r="C68" s="6">
        <f>+요약!E74</f>
        <v>130</v>
      </c>
      <c r="D68" s="6">
        <f>+요약!F74</f>
        <v>109</v>
      </c>
      <c r="E68" s="6">
        <f>+요약!G74</f>
        <v>131</v>
      </c>
      <c r="F68" s="6">
        <f>+요약!H74</f>
        <v>136</v>
      </c>
      <c r="G68" s="6">
        <f>+요약!I74</f>
        <v>554</v>
      </c>
      <c r="H68" s="6">
        <f>+요약!J74</f>
        <v>137</v>
      </c>
      <c r="I68" s="6">
        <f>+요약!K74</f>
        <v>138</v>
      </c>
      <c r="J68" s="6">
        <f>+요약!L74</f>
        <v>0</v>
      </c>
    </row>
    <row r="69" spans="1:10" ht="15" customHeight="1" x14ac:dyDescent="0.25">
      <c r="A69" s="13">
        <f>+요약!C75</f>
        <v>65</v>
      </c>
      <c r="B69" s="6">
        <f>+요약!D75</f>
        <v>246</v>
      </c>
      <c r="C69" s="6">
        <f>+요약!E75</f>
        <v>337</v>
      </c>
      <c r="D69" s="6">
        <f>+요약!F75</f>
        <v>152</v>
      </c>
      <c r="E69" s="6">
        <f>+요약!G75</f>
        <v>149</v>
      </c>
      <c r="F69" s="6">
        <f>+요약!H75</f>
        <v>400</v>
      </c>
      <c r="G69" s="6">
        <f>+요약!I75</f>
        <v>465</v>
      </c>
      <c r="H69" s="6">
        <f>+요약!J75</f>
        <v>120</v>
      </c>
      <c r="I69" s="6">
        <f>+요약!K75</f>
        <v>146</v>
      </c>
      <c r="J69" s="6">
        <f>+요약!L75</f>
        <v>0</v>
      </c>
    </row>
    <row r="70" spans="1:10" ht="15" customHeight="1" x14ac:dyDescent="0.25">
      <c r="A70" s="13">
        <f>+요약!C76</f>
        <v>66</v>
      </c>
      <c r="B70" s="6">
        <f>+요약!D76</f>
        <v>439</v>
      </c>
      <c r="C70" s="6">
        <f>+요약!E76</f>
        <v>214</v>
      </c>
      <c r="D70" s="6">
        <f>+요약!F76</f>
        <v>493</v>
      </c>
      <c r="E70" s="6">
        <f>+요약!G76</f>
        <v>80</v>
      </c>
      <c r="F70" s="6">
        <f>+요약!H76</f>
        <v>439</v>
      </c>
      <c r="G70" s="6">
        <f>+요약!I76</f>
        <v>259</v>
      </c>
      <c r="H70" s="6">
        <f>+요약!J76</f>
        <v>166</v>
      </c>
      <c r="I70" s="6">
        <f>+요약!K76</f>
        <v>118</v>
      </c>
      <c r="J70" s="6">
        <f>+요약!L76</f>
        <v>0</v>
      </c>
    </row>
    <row r="71" spans="1:10" ht="15" customHeight="1" x14ac:dyDescent="0.25">
      <c r="A71" s="13">
        <f>+요약!C77</f>
        <v>67</v>
      </c>
      <c r="B71" s="6">
        <f>+요약!D77</f>
        <v>248</v>
      </c>
      <c r="C71" s="6">
        <f>+요약!E77</f>
        <v>141</v>
      </c>
      <c r="D71" s="6">
        <f>+요약!F77</f>
        <v>388</v>
      </c>
      <c r="E71" s="6">
        <f>+요약!G77</f>
        <v>317</v>
      </c>
      <c r="F71" s="6">
        <f>+요약!H77</f>
        <v>355</v>
      </c>
      <c r="G71" s="6">
        <f>+요약!I77</f>
        <v>246</v>
      </c>
      <c r="H71" s="6">
        <f>+요약!J77</f>
        <v>251</v>
      </c>
      <c r="I71" s="6">
        <f>+요약!K77</f>
        <v>159</v>
      </c>
      <c r="J71" s="6">
        <f>+요약!L77</f>
        <v>0</v>
      </c>
    </row>
    <row r="72" spans="1:10" ht="15" customHeight="1" x14ac:dyDescent="0.25">
      <c r="A72" s="13">
        <f>+요약!C78</f>
        <v>68</v>
      </c>
      <c r="B72" s="6">
        <f>+요약!D78</f>
        <v>151</v>
      </c>
      <c r="C72" s="6">
        <f>+요약!E78</f>
        <v>82</v>
      </c>
      <c r="D72" s="6">
        <f>+요약!F78</f>
        <v>108</v>
      </c>
      <c r="E72" s="6">
        <f>+요약!G78</f>
        <v>258</v>
      </c>
      <c r="F72" s="6">
        <f>+요약!H78</f>
        <v>61</v>
      </c>
      <c r="G72" s="6">
        <f>+요약!I78</f>
        <v>526</v>
      </c>
      <c r="H72" s="6">
        <f>+요약!J78</f>
        <v>323</v>
      </c>
      <c r="I72" s="6">
        <f>+요약!K78</f>
        <v>502</v>
      </c>
      <c r="J72" s="6">
        <f>+요약!L78</f>
        <v>0</v>
      </c>
    </row>
    <row r="73" spans="1:10" ht="15" customHeight="1" x14ac:dyDescent="0.25">
      <c r="A73" s="13">
        <f>+요약!C79</f>
        <v>69</v>
      </c>
      <c r="B73" s="6">
        <f>+요약!D79</f>
        <v>173</v>
      </c>
      <c r="C73" s="6">
        <f>+요약!E79</f>
        <v>79</v>
      </c>
      <c r="D73" s="6">
        <f>+요약!F79</f>
        <v>92</v>
      </c>
      <c r="E73" s="6">
        <f>+요약!G79</f>
        <v>455</v>
      </c>
      <c r="F73" s="6">
        <f>+요약!H79</f>
        <v>78</v>
      </c>
      <c r="G73" s="6">
        <f>+요약!I79</f>
        <v>137</v>
      </c>
      <c r="H73" s="6">
        <f>+요약!J79</f>
        <v>21</v>
      </c>
      <c r="I73" s="6">
        <f>+요약!K79</f>
        <v>464</v>
      </c>
      <c r="J73" s="6">
        <f>+요약!L79</f>
        <v>0</v>
      </c>
    </row>
    <row r="74" spans="1:10" ht="15" customHeight="1" x14ac:dyDescent="0.25">
      <c r="A74" s="13">
        <f>+요약!C80</f>
        <v>70</v>
      </c>
      <c r="B74" s="6">
        <f>+요약!D80</f>
        <v>129</v>
      </c>
      <c r="C74" s="6">
        <f>+요약!E80</f>
        <v>146</v>
      </c>
      <c r="D74" s="6">
        <f>+요약!F80</f>
        <v>70</v>
      </c>
      <c r="E74" s="6">
        <f>+요약!G80</f>
        <v>300</v>
      </c>
      <c r="F74" s="6">
        <f>+요약!H80</f>
        <v>92</v>
      </c>
      <c r="G74" s="6">
        <f>+요약!I80</f>
        <v>192</v>
      </c>
      <c r="H74" s="6">
        <f>+요약!J80</f>
        <v>123</v>
      </c>
      <c r="I74" s="6">
        <f>+요약!K80</f>
        <v>94</v>
      </c>
      <c r="J74" s="6">
        <f>+요약!L80</f>
        <v>0</v>
      </c>
    </row>
    <row r="75" spans="1:10" ht="15" customHeight="1" x14ac:dyDescent="0.25">
      <c r="A75" s="13">
        <f>+요약!C81</f>
        <v>71</v>
      </c>
      <c r="B75" s="6">
        <f>+요약!D81</f>
        <v>156</v>
      </c>
      <c r="C75" s="6">
        <f>+요약!E81</f>
        <v>132</v>
      </c>
      <c r="D75" s="6">
        <f>+요약!F81</f>
        <v>100</v>
      </c>
      <c r="E75" s="6">
        <f>+요약!G81</f>
        <v>114</v>
      </c>
      <c r="F75" s="6">
        <f>+요약!H81</f>
        <v>134</v>
      </c>
      <c r="G75" s="6">
        <f>+요약!I81</f>
        <v>460</v>
      </c>
      <c r="H75" s="6">
        <f>+요약!J81</f>
        <v>148</v>
      </c>
      <c r="I75" s="6">
        <f>+요약!K81</f>
        <v>139</v>
      </c>
      <c r="J75" s="6">
        <f>+요약!L81</f>
        <v>0</v>
      </c>
    </row>
    <row r="76" spans="1:10" ht="15" customHeight="1" x14ac:dyDescent="0.25">
      <c r="A76" s="13">
        <f>+요약!C82</f>
        <v>72</v>
      </c>
      <c r="B76" s="6">
        <f>+요약!D82</f>
        <v>211</v>
      </c>
      <c r="C76" s="6">
        <f>+요약!E82</f>
        <v>543</v>
      </c>
      <c r="D76" s="6">
        <f>+요약!F82</f>
        <v>134</v>
      </c>
      <c r="E76" s="6">
        <f>+요약!G82</f>
        <v>106</v>
      </c>
      <c r="F76" s="6">
        <f>+요약!H82</f>
        <v>450</v>
      </c>
      <c r="G76" s="6">
        <f>+요약!I82</f>
        <v>447</v>
      </c>
      <c r="H76" s="6">
        <f>+요약!J82</f>
        <v>81</v>
      </c>
      <c r="I76" s="6">
        <f>+요약!K82</f>
        <v>135</v>
      </c>
      <c r="J76" s="6">
        <f>+요약!L82</f>
        <v>0</v>
      </c>
    </row>
    <row r="77" spans="1:10" ht="15" customHeight="1" x14ac:dyDescent="0.25">
      <c r="A77" s="13">
        <f>+요약!C83</f>
        <v>73</v>
      </c>
      <c r="B77" s="6">
        <f>+요약!D83</f>
        <v>278</v>
      </c>
      <c r="C77" s="6">
        <f>+요약!E83</f>
        <v>353</v>
      </c>
      <c r="D77" s="6">
        <f>+요약!F83</f>
        <v>316</v>
      </c>
      <c r="E77" s="6">
        <f>+요약!G83</f>
        <v>94</v>
      </c>
      <c r="F77" s="6">
        <f>+요약!H83</f>
        <v>510</v>
      </c>
      <c r="G77" s="6">
        <f>+요약!I83</f>
        <v>44</v>
      </c>
      <c r="H77" s="6">
        <f>+요약!J83</f>
        <v>400</v>
      </c>
      <c r="I77" s="6">
        <f>+요약!K83</f>
        <v>250</v>
      </c>
      <c r="J77" s="6">
        <f>+요약!L83</f>
        <v>0</v>
      </c>
    </row>
    <row r="78" spans="1:10" ht="15" customHeight="1" x14ac:dyDescent="0.25">
      <c r="A78" s="13">
        <f>+요약!C84</f>
        <v>74</v>
      </c>
      <c r="B78" s="6">
        <f>+요약!D84</f>
        <v>291</v>
      </c>
      <c r="C78" s="6">
        <f>+요약!E84</f>
        <v>150</v>
      </c>
      <c r="D78" s="6">
        <f>+요약!F84</f>
        <v>302</v>
      </c>
      <c r="E78" s="6">
        <f>+요약!G84</f>
        <v>111</v>
      </c>
      <c r="F78" s="6">
        <f>+요약!H84</f>
        <v>372</v>
      </c>
      <c r="G78" s="6">
        <f>+요약!I84</f>
        <v>130</v>
      </c>
      <c r="H78" s="6">
        <f>+요약!J84</f>
        <v>408</v>
      </c>
      <c r="I78" s="6">
        <f>+요약!K84</f>
        <v>193</v>
      </c>
      <c r="J78" s="6">
        <f>+요약!L84</f>
        <v>0</v>
      </c>
    </row>
    <row r="79" spans="1:10" ht="15" customHeight="1" x14ac:dyDescent="0.25">
      <c r="A79" s="13">
        <f>+요약!C85</f>
        <v>75</v>
      </c>
      <c r="B79" s="6">
        <f>+요약!D85</f>
        <v>195</v>
      </c>
      <c r="C79" s="6">
        <f>+요약!E85</f>
        <v>87</v>
      </c>
      <c r="D79" s="6">
        <f>+요약!F85</f>
        <v>96</v>
      </c>
      <c r="E79" s="6">
        <f>+요약!G85</f>
        <v>108</v>
      </c>
      <c r="F79" s="6">
        <f>+요약!H85</f>
        <v>82</v>
      </c>
      <c r="G79" s="6">
        <f>+요약!I85</f>
        <v>179</v>
      </c>
      <c r="H79" s="6">
        <f>+요약!J85</f>
        <v>384</v>
      </c>
      <c r="I79" s="6">
        <f>+요약!K85</f>
        <v>602</v>
      </c>
      <c r="J79" s="6">
        <f>+요약!L85</f>
        <v>0</v>
      </c>
    </row>
    <row r="80" spans="1:10" ht="15" customHeight="1" x14ac:dyDescent="0.25">
      <c r="A80" s="13">
        <f>+요약!C86</f>
        <v>76</v>
      </c>
      <c r="B80" s="6">
        <f>+요약!D86</f>
        <v>172</v>
      </c>
      <c r="C80" s="6">
        <f>+요약!E86</f>
        <v>241</v>
      </c>
      <c r="D80" s="6">
        <f>+요약!F86</f>
        <v>63</v>
      </c>
      <c r="E80" s="6">
        <f>+요약!G86</f>
        <v>604</v>
      </c>
      <c r="F80" s="6">
        <f>+요약!H86</f>
        <v>124</v>
      </c>
      <c r="G80" s="6">
        <f>+요약!I86</f>
        <v>152</v>
      </c>
      <c r="H80" s="6">
        <f>+요약!J86</f>
        <v>147</v>
      </c>
      <c r="I80" s="6">
        <f>+요약!K86</f>
        <v>482</v>
      </c>
      <c r="J80" s="6">
        <f>+요약!L86</f>
        <v>0</v>
      </c>
    </row>
    <row r="81" spans="1:10" ht="15" customHeight="1" x14ac:dyDescent="0.25">
      <c r="A81" s="13">
        <f>+요약!C87</f>
        <v>77</v>
      </c>
      <c r="B81" s="6">
        <f>+요약!D87</f>
        <v>164</v>
      </c>
      <c r="C81" s="6">
        <f>+요약!E87</f>
        <v>238</v>
      </c>
      <c r="D81" s="6">
        <f>+요약!F87</f>
        <v>102</v>
      </c>
      <c r="E81" s="6">
        <f>+요약!G87</f>
        <v>456</v>
      </c>
      <c r="F81" s="6">
        <f>+요약!H87</f>
        <v>70</v>
      </c>
      <c r="G81" s="6">
        <f>+요약!I87</f>
        <v>213</v>
      </c>
      <c r="H81" s="6">
        <f>+요약!J87</f>
        <v>87</v>
      </c>
      <c r="I81" s="6">
        <f>+요약!K87</f>
        <v>161</v>
      </c>
      <c r="J81" s="6">
        <f>+요약!L87</f>
        <v>0</v>
      </c>
    </row>
    <row r="82" spans="1:10" ht="15" customHeight="1" x14ac:dyDescent="0.25">
      <c r="A82" s="13">
        <f>+요약!C88</f>
        <v>78</v>
      </c>
      <c r="B82" s="6">
        <f>+요약!D88</f>
        <v>247</v>
      </c>
      <c r="C82" s="6">
        <f>+요약!E88</f>
        <v>251</v>
      </c>
      <c r="D82" s="6">
        <f>+요약!F88</f>
        <v>133</v>
      </c>
      <c r="E82" s="6">
        <f>+요약!G88</f>
        <v>127</v>
      </c>
      <c r="F82" s="6">
        <f>+요약!H88</f>
        <v>192</v>
      </c>
      <c r="G82" s="6">
        <f>+요약!I88</f>
        <v>575</v>
      </c>
      <c r="H82" s="6">
        <f>+요약!J88</f>
        <v>122</v>
      </c>
      <c r="I82" s="6">
        <f>+요약!K88</f>
        <v>188</v>
      </c>
      <c r="J82" s="6">
        <f>+요약!L88</f>
        <v>0</v>
      </c>
    </row>
    <row r="83" spans="1:10" ht="15" customHeight="1" x14ac:dyDescent="0.25">
      <c r="A83" s="13">
        <f>+요약!C89</f>
        <v>79</v>
      </c>
      <c r="B83" s="6">
        <f>+요약!D89</f>
        <v>415</v>
      </c>
      <c r="C83" s="6">
        <f>+요약!E89</f>
        <v>656</v>
      </c>
      <c r="D83" s="6">
        <f>+요약!F89</f>
        <v>119</v>
      </c>
      <c r="E83" s="6">
        <f>+요약!G89</f>
        <v>130</v>
      </c>
      <c r="F83" s="6">
        <f>+요약!H89</f>
        <v>524</v>
      </c>
      <c r="G83" s="6">
        <f>+요약!I89</f>
        <v>417</v>
      </c>
      <c r="H83" s="6">
        <f>+요약!J89</f>
        <v>126</v>
      </c>
      <c r="I83" s="6">
        <f>+요약!K89</f>
        <v>236</v>
      </c>
      <c r="J83" s="6">
        <f>+요약!L89</f>
        <v>0</v>
      </c>
    </row>
    <row r="84" spans="1:10" ht="15" customHeight="1" x14ac:dyDescent="0.25">
      <c r="A84" s="13">
        <f>+요약!C90</f>
        <v>80</v>
      </c>
      <c r="B84" s="6">
        <f>+요약!D90</f>
        <v>250</v>
      </c>
      <c r="C84" s="6">
        <f>+요약!E90</f>
        <v>473</v>
      </c>
      <c r="D84" s="6">
        <f>+요약!F90</f>
        <v>358</v>
      </c>
      <c r="E84" s="6">
        <f>+요약!G90</f>
        <v>123</v>
      </c>
      <c r="F84" s="6">
        <f>+요약!H90</f>
        <v>445</v>
      </c>
      <c r="G84" s="6">
        <f>+요약!I90</f>
        <v>164</v>
      </c>
      <c r="H84" s="6">
        <f>+요약!J90</f>
        <v>194</v>
      </c>
      <c r="I84" s="6">
        <f>+요약!K90</f>
        <v>154</v>
      </c>
      <c r="J84" s="6">
        <f>+요약!L90</f>
        <v>0</v>
      </c>
    </row>
    <row r="85" spans="1:10" ht="15" customHeight="1" x14ac:dyDescent="0.25">
      <c r="A85" s="13">
        <f>+요약!C91</f>
        <v>81</v>
      </c>
      <c r="B85" s="6">
        <f>+요약!D91</f>
        <v>263</v>
      </c>
      <c r="C85" s="6">
        <f>+요약!E91</f>
        <v>220</v>
      </c>
      <c r="D85" s="6">
        <f>+요약!F91</f>
        <v>376</v>
      </c>
      <c r="E85" s="6">
        <f>+요약!G91</f>
        <v>128</v>
      </c>
      <c r="F85" s="6">
        <f>+요약!H91</f>
        <v>0</v>
      </c>
      <c r="G85" s="6">
        <f>+요약!I91</f>
        <v>197</v>
      </c>
      <c r="H85" s="6">
        <f>+요약!J91</f>
        <v>497</v>
      </c>
      <c r="I85" s="6">
        <f>+요약!K91</f>
        <v>451</v>
      </c>
      <c r="J85" s="6">
        <f>+요약!L91</f>
        <v>0</v>
      </c>
    </row>
    <row r="86" spans="1:10" ht="15" customHeight="1" x14ac:dyDescent="0.25">
      <c r="A86" s="13">
        <f>+요약!C92</f>
        <v>82</v>
      </c>
      <c r="B86" s="6">
        <f>+요약!D92</f>
        <v>219</v>
      </c>
      <c r="C86" s="6">
        <f>+요약!E92</f>
        <v>256</v>
      </c>
      <c r="D86" s="6">
        <f>+요약!F92</f>
        <v>130</v>
      </c>
      <c r="E86" s="6">
        <f>+요약!G92</f>
        <v>219</v>
      </c>
      <c r="F86" s="6">
        <f>+요약!H92</f>
        <v>194</v>
      </c>
      <c r="G86" s="6">
        <f>+요약!I92</f>
        <v>168</v>
      </c>
      <c r="H86" s="6">
        <f>+요약!J92</f>
        <v>437</v>
      </c>
      <c r="I86" s="6">
        <f>+요약!K92</f>
        <v>619</v>
      </c>
      <c r="J86" s="6">
        <f>+요약!L92</f>
        <v>0</v>
      </c>
    </row>
    <row r="87" spans="1:10" ht="15" customHeight="1" x14ac:dyDescent="0.25">
      <c r="A87" s="13">
        <f>+요약!C93</f>
        <v>83</v>
      </c>
      <c r="B87" s="6">
        <f>+요약!D93</f>
        <v>252</v>
      </c>
      <c r="C87" s="6">
        <f>+요약!E93</f>
        <v>216</v>
      </c>
      <c r="D87" s="6">
        <f>+요약!F93</f>
        <v>166</v>
      </c>
      <c r="E87" s="6">
        <f>+요약!G93</f>
        <v>665</v>
      </c>
      <c r="F87" s="6">
        <f>+요약!H93</f>
        <v>91</v>
      </c>
      <c r="G87" s="6">
        <f>+요약!I93</f>
        <v>185</v>
      </c>
      <c r="H87" s="6">
        <f>+요약!J93</f>
        <v>197</v>
      </c>
      <c r="I87" s="6">
        <f>+요약!K93</f>
        <v>542</v>
      </c>
      <c r="J87" s="6">
        <f>+요약!L93</f>
        <v>0</v>
      </c>
    </row>
    <row r="88" spans="1:10" ht="15" customHeight="1" x14ac:dyDescent="0.25">
      <c r="A88" s="13">
        <f>+요약!C94</f>
        <v>84</v>
      </c>
      <c r="B88" s="6">
        <f>+요약!D94</f>
        <v>278</v>
      </c>
      <c r="C88" s="6">
        <f>+요약!E94</f>
        <v>338</v>
      </c>
      <c r="D88" s="6">
        <f>+요약!F94</f>
        <v>201</v>
      </c>
      <c r="E88" s="6">
        <f>+요약!G94</f>
        <v>528</v>
      </c>
      <c r="F88" s="6">
        <f>+요약!H94</f>
        <v>110</v>
      </c>
      <c r="G88" s="6">
        <f>+요약!I94</f>
        <v>232</v>
      </c>
      <c r="H88" s="6">
        <f>+요약!J94</f>
        <v>175</v>
      </c>
      <c r="I88" s="6">
        <f>+요약!K94</f>
        <v>263</v>
      </c>
      <c r="J88" s="6">
        <f>+요약!L94</f>
        <v>0</v>
      </c>
    </row>
    <row r="89" spans="1:10" ht="15" customHeight="1" x14ac:dyDescent="0.25">
      <c r="A89" s="13">
        <f>+요약!C95</f>
        <v>85</v>
      </c>
      <c r="B89" s="6">
        <f>+요약!D95</f>
        <v>293</v>
      </c>
      <c r="C89" s="6">
        <f>+요약!E95</f>
        <v>354</v>
      </c>
      <c r="D89" s="6">
        <f>+요약!F95</f>
        <v>185</v>
      </c>
      <c r="E89" s="6">
        <f>+요약!G95</f>
        <v>0</v>
      </c>
      <c r="F89" s="6">
        <f>+요약!H95</f>
        <v>124</v>
      </c>
      <c r="G89" s="6">
        <f>+요약!I95</f>
        <v>739</v>
      </c>
      <c r="H89" s="6">
        <f>+요약!J95</f>
        <v>288</v>
      </c>
      <c r="I89" s="6">
        <f>+요약!K95</f>
        <v>234</v>
      </c>
      <c r="J89" s="6">
        <f>+요약!L95</f>
        <v>0</v>
      </c>
    </row>
    <row r="90" spans="1:10" ht="15" customHeight="1" x14ac:dyDescent="0.25">
      <c r="A90" s="13">
        <f>+요약!C96</f>
        <v>86</v>
      </c>
      <c r="B90" s="6">
        <f>+요약!D96</f>
        <v>0</v>
      </c>
      <c r="C90" s="6">
        <f>+요약!E96</f>
        <v>760</v>
      </c>
      <c r="D90" s="6">
        <f>+요약!F96</f>
        <v>257</v>
      </c>
      <c r="E90" s="6">
        <f>+요약!G96</f>
        <v>114</v>
      </c>
      <c r="F90" s="6">
        <f>+요약!H96</f>
        <v>394</v>
      </c>
      <c r="G90" s="6">
        <f>+요약!I96</f>
        <v>587</v>
      </c>
      <c r="H90" s="6">
        <f>+요약!J96</f>
        <v>211</v>
      </c>
      <c r="I90" s="6">
        <f>+요약!K96</f>
        <v>332</v>
      </c>
      <c r="J90" s="6">
        <f>+요약!L96</f>
        <v>0</v>
      </c>
    </row>
    <row r="91" spans="1:10" ht="15" customHeight="1" x14ac:dyDescent="0.25">
      <c r="A91" s="13">
        <f>+요약!C97</f>
        <v>87</v>
      </c>
      <c r="B91" s="6">
        <f>+요약!D97</f>
        <v>563</v>
      </c>
      <c r="C91" s="6">
        <f>+요약!E97</f>
        <v>639</v>
      </c>
      <c r="D91" s="6">
        <f>+요약!F97</f>
        <v>578</v>
      </c>
      <c r="E91" s="6">
        <f>+요약!G97</f>
        <v>275</v>
      </c>
      <c r="F91" s="6">
        <f>+요약!H97</f>
        <v>469</v>
      </c>
      <c r="G91" s="6">
        <f>+요약!I97</f>
        <v>293</v>
      </c>
      <c r="H91" s="6">
        <f>+요약!J97</f>
        <v>264</v>
      </c>
      <c r="I91" s="6">
        <f>+요약!K97</f>
        <v>265</v>
      </c>
      <c r="J91" s="6">
        <f>+요약!L97</f>
        <v>0</v>
      </c>
    </row>
    <row r="92" spans="1:10" ht="15" customHeight="1" x14ac:dyDescent="0.25">
      <c r="A92" s="13">
        <f>+요약!C98</f>
        <v>88</v>
      </c>
      <c r="B92" s="6">
        <f>+요약!D98</f>
        <v>427</v>
      </c>
      <c r="C92" s="6">
        <f>+요약!E98</f>
        <v>0</v>
      </c>
      <c r="D92" s="6">
        <f>+요약!F98</f>
        <v>432</v>
      </c>
      <c r="E92" s="6">
        <f>+요약!G98</f>
        <v>181</v>
      </c>
      <c r="F92" s="6">
        <f>+요약!H98</f>
        <v>110</v>
      </c>
      <c r="G92" s="6">
        <f>+요약!I98</f>
        <v>271</v>
      </c>
      <c r="H92" s="6">
        <f>+요약!J98</f>
        <v>695</v>
      </c>
      <c r="I92" s="6">
        <f>+요약!K98</f>
        <v>370</v>
      </c>
      <c r="J92" s="6">
        <f>+요약!L98</f>
        <v>0</v>
      </c>
    </row>
    <row r="93" spans="1:10" ht="15" customHeight="1" x14ac:dyDescent="0.25">
      <c r="A93" s="13">
        <f>+요약!C99</f>
        <v>89</v>
      </c>
      <c r="B93" s="6">
        <f>+요약!D99</f>
        <v>158</v>
      </c>
      <c r="C93" s="6">
        <f>+요약!E99</f>
        <v>0</v>
      </c>
      <c r="D93" s="6">
        <f>+요약!F99</f>
        <v>305</v>
      </c>
      <c r="E93" s="6">
        <f>+요약!G99</f>
        <v>298</v>
      </c>
      <c r="F93" s="6">
        <f>+요약!H99</f>
        <v>112</v>
      </c>
      <c r="G93" s="6">
        <f>+요약!I99</f>
        <v>280</v>
      </c>
      <c r="H93" s="6">
        <f>+요약!J99</f>
        <v>649</v>
      </c>
      <c r="I93" s="6">
        <f>+요약!K99</f>
        <v>690</v>
      </c>
      <c r="J93" s="6">
        <f>+요약!L99</f>
        <v>0</v>
      </c>
    </row>
    <row r="94" spans="1:10" ht="15" customHeight="1" x14ac:dyDescent="0.25">
      <c r="A94" s="13">
        <f>+요약!C100</f>
        <v>90</v>
      </c>
      <c r="B94" s="6">
        <f>+요약!D100</f>
        <v>176</v>
      </c>
      <c r="C94" s="6">
        <f>+요약!E100</f>
        <v>0</v>
      </c>
      <c r="D94" s="6">
        <f>+요약!F100</f>
        <v>332</v>
      </c>
      <c r="E94" s="6">
        <f>+요약!G100</f>
        <v>690</v>
      </c>
      <c r="F94" s="6">
        <f>+요약!H100</f>
        <v>192</v>
      </c>
      <c r="G94" s="6">
        <f>+요약!I100</f>
        <v>382</v>
      </c>
      <c r="H94" s="6">
        <f>+요약!J100</f>
        <v>314</v>
      </c>
      <c r="I94" s="6">
        <f>+요약!K100</f>
        <v>713</v>
      </c>
      <c r="J94" s="6">
        <f>+요약!L100</f>
        <v>0</v>
      </c>
    </row>
    <row r="95" spans="1:10" ht="15" customHeight="1" x14ac:dyDescent="0.25">
      <c r="A95" s="13">
        <f>+요약!C101</f>
        <v>91</v>
      </c>
      <c r="B95" s="6">
        <f>+요약!D101</f>
        <v>178</v>
      </c>
      <c r="C95" s="6">
        <f>+요약!E101</f>
        <v>0</v>
      </c>
      <c r="D95" s="6">
        <f>+요약!F101</f>
        <v>633</v>
      </c>
      <c r="E95" s="6">
        <f>+요약!G101</f>
        <v>660</v>
      </c>
      <c r="F95" s="6">
        <f>+요약!H101</f>
        <v>134</v>
      </c>
      <c r="G95" s="6">
        <f>+요약!I101</f>
        <v>586</v>
      </c>
      <c r="H95" s="6">
        <f>+요약!J101</f>
        <v>248</v>
      </c>
      <c r="I95" s="6">
        <f>+요약!K101</f>
        <v>799</v>
      </c>
      <c r="J95" s="6">
        <f>+요약!L101</f>
        <v>0</v>
      </c>
    </row>
    <row r="96" spans="1:10" ht="15" customHeight="1" x14ac:dyDescent="0.25">
      <c r="A96" s="13">
        <f>+요약!C102</f>
        <v>92</v>
      </c>
      <c r="B96" s="6">
        <f>+요약!D102</f>
        <v>169</v>
      </c>
      <c r="C96" s="6">
        <f>+요약!E102</f>
        <v>0</v>
      </c>
      <c r="D96" s="6">
        <f>+요약!F102</f>
        <v>503</v>
      </c>
      <c r="E96" s="6">
        <f>+요약!G102</f>
        <v>242</v>
      </c>
      <c r="F96" s="6">
        <f>+요약!H102</f>
        <v>277</v>
      </c>
      <c r="G96" s="6">
        <f>+요약!I102</f>
        <v>1007</v>
      </c>
      <c r="H96" s="6">
        <f>+요약!J102</f>
        <v>262</v>
      </c>
      <c r="I96" s="6">
        <f>+요약!K102</f>
        <v>399</v>
      </c>
      <c r="J96" s="6">
        <f>+요약!L102</f>
        <v>0</v>
      </c>
    </row>
    <row r="97" spans="1:10" ht="15" customHeight="1" x14ac:dyDescent="0.25">
      <c r="A97" s="13">
        <f>+요약!C103</f>
        <v>93</v>
      </c>
      <c r="B97" s="6">
        <f>+요약!D103</f>
        <v>220</v>
      </c>
      <c r="C97" s="6">
        <f>+요약!E103</f>
        <v>0</v>
      </c>
      <c r="D97" s="6">
        <f>+요약!F103</f>
        <v>539</v>
      </c>
      <c r="E97" s="6">
        <f>+요약!G103</f>
        <v>285</v>
      </c>
      <c r="F97" s="6">
        <f>+요약!H103</f>
        <v>457</v>
      </c>
      <c r="G97" s="6">
        <f>+요약!I103</f>
        <v>929</v>
      </c>
      <c r="H97" s="6">
        <f>+요약!J103</f>
        <v>364</v>
      </c>
      <c r="I97" s="6">
        <f>+요약!K103</f>
        <v>421</v>
      </c>
      <c r="J97" s="6">
        <f>+요약!L103</f>
        <v>0</v>
      </c>
    </row>
    <row r="98" spans="1:10" ht="15" customHeight="1" x14ac:dyDescent="0.25">
      <c r="A98" s="13">
        <f>+요약!C104</f>
        <v>94</v>
      </c>
      <c r="B98" s="6">
        <f>+요약!D104</f>
        <v>676</v>
      </c>
      <c r="C98" s="6">
        <f>+요약!E104</f>
        <v>0</v>
      </c>
      <c r="D98" s="6">
        <f>+요약!F104</f>
        <v>0</v>
      </c>
      <c r="E98" s="6">
        <f>+요약!G104</f>
        <v>718</v>
      </c>
      <c r="F98" s="6">
        <f>+요약!H104</f>
        <v>402</v>
      </c>
      <c r="G98" s="6">
        <f>+요약!I104</f>
        <v>0</v>
      </c>
      <c r="H98" s="6">
        <f>+요약!J104</f>
        <v>361</v>
      </c>
      <c r="I98" s="6">
        <f>+요약!K104</f>
        <v>564</v>
      </c>
      <c r="J98" s="6">
        <f>+요약!L104</f>
        <v>0</v>
      </c>
    </row>
    <row r="99" spans="1:10" ht="15" customHeight="1" x14ac:dyDescent="0.25">
      <c r="A99" s="13">
        <f>+요약!C105</f>
        <v>95</v>
      </c>
      <c r="B99" s="6">
        <f>+요약!D105</f>
        <v>588</v>
      </c>
      <c r="C99" s="6">
        <f>+요약!E105</f>
        <v>0</v>
      </c>
      <c r="D99" s="6">
        <f>+요약!F105</f>
        <v>1215</v>
      </c>
      <c r="E99" s="6">
        <f>+요약!G105</f>
        <v>240</v>
      </c>
      <c r="F99" s="6">
        <f>+요약!H105</f>
        <v>168</v>
      </c>
      <c r="G99" s="6">
        <f>+요약!I105</f>
        <v>0</v>
      </c>
      <c r="H99" s="6">
        <f>+요약!J105</f>
        <v>701</v>
      </c>
      <c r="I99" s="6">
        <f>+요약!K105</f>
        <v>689</v>
      </c>
      <c r="J99" s="6">
        <f>+요약!L105</f>
        <v>0</v>
      </c>
    </row>
    <row r="100" spans="1:10" ht="15" customHeight="1" x14ac:dyDescent="0.25">
      <c r="A100" s="13">
        <f>+요약!C106</f>
        <v>96</v>
      </c>
      <c r="B100" s="6">
        <f>+요약!D106</f>
        <v>268</v>
      </c>
      <c r="C100" s="6">
        <f>+요약!E106</f>
        <v>0</v>
      </c>
      <c r="D100" s="6">
        <f>+요약!F106</f>
        <v>121</v>
      </c>
      <c r="E100" s="6">
        <f>+요약!G106</f>
        <v>403</v>
      </c>
      <c r="F100" s="6">
        <f>+요약!H106</f>
        <v>164</v>
      </c>
      <c r="G100" s="6">
        <f>+요약!I106</f>
        <v>0</v>
      </c>
      <c r="H100" s="6">
        <f>+요약!J106</f>
        <v>786</v>
      </c>
      <c r="I100" s="6">
        <f>+요약!K106</f>
        <v>772</v>
      </c>
      <c r="J100" s="6">
        <f>+요약!L106</f>
        <v>0</v>
      </c>
    </row>
    <row r="101" spans="1:10" ht="15" customHeight="1" x14ac:dyDescent="0.25">
      <c r="A101" s="13">
        <f>+요약!C107</f>
        <v>97</v>
      </c>
      <c r="B101" s="6">
        <f>+요약!D107</f>
        <v>300</v>
      </c>
      <c r="C101" s="6">
        <f>+요약!E107</f>
        <v>0</v>
      </c>
      <c r="D101" s="6">
        <f>+요약!F107</f>
        <v>239</v>
      </c>
      <c r="E101" s="6">
        <f>+요약!G107</f>
        <v>858</v>
      </c>
      <c r="F101" s="6">
        <f>+요약!H107</f>
        <v>241</v>
      </c>
      <c r="G101" s="6">
        <f>+요약!I107</f>
        <v>0</v>
      </c>
      <c r="H101" s="6">
        <f>+요약!J107</f>
        <v>0</v>
      </c>
      <c r="I101" s="6">
        <f>+요약!K107</f>
        <v>1190</v>
      </c>
      <c r="J101" s="6">
        <f>+요약!L107</f>
        <v>0</v>
      </c>
    </row>
    <row r="102" spans="1:10" ht="15" customHeight="1" x14ac:dyDescent="0.25">
      <c r="A102" s="13">
        <f>+요약!C108</f>
        <v>98</v>
      </c>
      <c r="B102" s="6">
        <f>+요약!D108</f>
        <v>289</v>
      </c>
      <c r="C102" s="6">
        <f>+요약!E108</f>
        <v>0</v>
      </c>
      <c r="D102" s="6">
        <f>+요약!F108</f>
        <v>390</v>
      </c>
      <c r="E102" s="6">
        <f>+요약!G108</f>
        <v>784</v>
      </c>
      <c r="F102" s="6">
        <f>+요약!H108</f>
        <v>212</v>
      </c>
      <c r="G102" s="6">
        <f>+요약!I108</f>
        <v>0</v>
      </c>
      <c r="H102" s="6">
        <f>+요약!J108</f>
        <v>0</v>
      </c>
      <c r="I102" s="6">
        <f>+요약!K108</f>
        <v>0</v>
      </c>
      <c r="J102" s="6">
        <f>+요약!L108</f>
        <v>0</v>
      </c>
    </row>
    <row r="103" spans="1:10" ht="15" customHeight="1" x14ac:dyDescent="0.25">
      <c r="A103" s="13">
        <f>+요약!C109</f>
        <v>99</v>
      </c>
      <c r="B103" s="6">
        <f>+요약!D109</f>
        <v>409</v>
      </c>
      <c r="C103" s="6">
        <f>+요약!E109</f>
        <v>0</v>
      </c>
      <c r="D103" s="6">
        <f>+요약!F109</f>
        <v>400</v>
      </c>
      <c r="E103" s="6">
        <f>+요약!G109</f>
        <v>1132</v>
      </c>
      <c r="F103" s="6">
        <f>+요약!H109</f>
        <v>278</v>
      </c>
      <c r="G103" s="6">
        <f>+요약!I109</f>
        <v>0</v>
      </c>
      <c r="H103" s="6">
        <f>+요약!J109</f>
        <v>0</v>
      </c>
      <c r="I103" s="6">
        <f>+요약!K109</f>
        <v>0</v>
      </c>
      <c r="J103" s="6">
        <f>+요약!L109</f>
        <v>0</v>
      </c>
    </row>
    <row r="104" spans="1:10" ht="15" customHeight="1" x14ac:dyDescent="0.25">
      <c r="A104" s="13">
        <f>+요약!C110</f>
        <v>100</v>
      </c>
      <c r="B104" s="6">
        <f>+요약!D110</f>
        <v>399</v>
      </c>
      <c r="C104" s="6">
        <f>+요약!E110</f>
        <v>0</v>
      </c>
      <c r="D104" s="6">
        <f>+요약!F110</f>
        <v>493</v>
      </c>
      <c r="E104" s="6">
        <f>+요약!G110</f>
        <v>0</v>
      </c>
      <c r="F104" s="6">
        <f>+요약!H110</f>
        <v>799</v>
      </c>
      <c r="G104" s="6">
        <f>+요약!I110</f>
        <v>0</v>
      </c>
      <c r="H104" s="6">
        <f>+요약!J110</f>
        <v>0</v>
      </c>
      <c r="I104" s="6">
        <f>+요약!K110</f>
        <v>0</v>
      </c>
      <c r="J104" s="6">
        <f>+요약!L110</f>
        <v>0</v>
      </c>
    </row>
    <row r="105" spans="1:10" ht="15" customHeight="1" x14ac:dyDescent="0.25">
      <c r="A105" s="13">
        <f>+요약!C111</f>
        <v>101</v>
      </c>
      <c r="B105" s="6">
        <f>+요약!D111</f>
        <v>1151</v>
      </c>
      <c r="C105" s="6">
        <f>+요약!E111</f>
        <v>0</v>
      </c>
      <c r="D105" s="6">
        <f>+요약!F111</f>
        <v>1009</v>
      </c>
      <c r="E105" s="6">
        <f>+요약!G111</f>
        <v>0</v>
      </c>
      <c r="F105" s="6">
        <f>+요약!H111</f>
        <v>816</v>
      </c>
      <c r="G105" s="6">
        <f>+요약!I111</f>
        <v>0</v>
      </c>
      <c r="H105" s="6">
        <f>+요약!J111</f>
        <v>0</v>
      </c>
      <c r="I105" s="6">
        <f>+요약!K111</f>
        <v>0</v>
      </c>
      <c r="J105" s="6">
        <f>+요약!L111</f>
        <v>0</v>
      </c>
    </row>
    <row r="106" spans="1:10" ht="15" customHeight="1" x14ac:dyDescent="0.25">
      <c r="A106" s="13">
        <f>+요약!C112</f>
        <v>102</v>
      </c>
      <c r="B106" s="6">
        <f>+요약!D112</f>
        <v>834</v>
      </c>
      <c r="C106" s="6">
        <f>+요약!E112</f>
        <v>0</v>
      </c>
      <c r="D106" s="6">
        <f>+요약!F112</f>
        <v>1089</v>
      </c>
      <c r="E106" s="6">
        <f>+요약!G112</f>
        <v>0</v>
      </c>
      <c r="F106" s="6">
        <f>+요약!H112</f>
        <v>0</v>
      </c>
      <c r="G106" s="6">
        <f>+요약!I112</f>
        <v>0</v>
      </c>
      <c r="H106" s="6">
        <f>+요약!J112</f>
        <v>0</v>
      </c>
      <c r="I106" s="6">
        <f>+요약!K112</f>
        <v>0</v>
      </c>
      <c r="J106" s="6">
        <f>+요약!L112</f>
        <v>0</v>
      </c>
    </row>
    <row r="107" spans="1:10" ht="15" customHeight="1" x14ac:dyDescent="0.25">
      <c r="A107" s="13">
        <f>+요약!C113</f>
        <v>103</v>
      </c>
      <c r="B107" s="6">
        <f>+요약!D113</f>
        <v>293</v>
      </c>
      <c r="C107" s="6">
        <f>+요약!E113</f>
        <v>0</v>
      </c>
      <c r="D107" s="6">
        <f>+요약!F113</f>
        <v>0</v>
      </c>
      <c r="E107" s="6">
        <f>+요약!G113</f>
        <v>0</v>
      </c>
      <c r="F107" s="6">
        <f>+요약!H113</f>
        <v>0</v>
      </c>
      <c r="G107" s="6">
        <f>+요약!I113</f>
        <v>0</v>
      </c>
      <c r="H107" s="6">
        <f>+요약!J113</f>
        <v>0</v>
      </c>
      <c r="I107" s="6">
        <f>+요약!K113</f>
        <v>0</v>
      </c>
      <c r="J107" s="6">
        <f>+요약!L113</f>
        <v>0</v>
      </c>
    </row>
    <row r="108" spans="1:10" ht="15" customHeight="1" x14ac:dyDescent="0.25">
      <c r="A108" s="13">
        <f>+요약!C114</f>
        <v>104</v>
      </c>
      <c r="B108" s="6">
        <f>+요약!D114</f>
        <v>420</v>
      </c>
      <c r="C108" s="6">
        <f>+요약!E114</f>
        <v>0</v>
      </c>
      <c r="D108" s="6">
        <f>+요약!F114</f>
        <v>0</v>
      </c>
      <c r="E108" s="6">
        <f>+요약!G114</f>
        <v>0</v>
      </c>
      <c r="F108" s="6">
        <f>+요약!H114</f>
        <v>0</v>
      </c>
      <c r="G108" s="6">
        <f>+요약!I114</f>
        <v>0</v>
      </c>
      <c r="H108" s="6">
        <f>+요약!J114</f>
        <v>0</v>
      </c>
      <c r="I108" s="6">
        <f>+요약!K114</f>
        <v>0</v>
      </c>
      <c r="J108" s="6">
        <f>+요약!L114</f>
        <v>0</v>
      </c>
    </row>
    <row r="109" spans="1:10" ht="15" customHeight="1" x14ac:dyDescent="0.25">
      <c r="A109" s="13">
        <f>+요약!C115</f>
        <v>105</v>
      </c>
      <c r="B109" s="6">
        <f>+요약!D115</f>
        <v>527</v>
      </c>
      <c r="C109" s="6">
        <f>+요약!E115</f>
        <v>0</v>
      </c>
      <c r="D109" s="6">
        <f>+요약!F115</f>
        <v>0</v>
      </c>
      <c r="E109" s="6">
        <f>+요약!G115</f>
        <v>0</v>
      </c>
      <c r="F109" s="6">
        <f>+요약!H115</f>
        <v>0</v>
      </c>
      <c r="G109" s="6">
        <f>+요약!I115</f>
        <v>0</v>
      </c>
      <c r="H109" s="6">
        <f>+요약!J115</f>
        <v>0</v>
      </c>
      <c r="I109" s="6">
        <f>+요약!K115</f>
        <v>0</v>
      </c>
      <c r="J109" s="6">
        <f>+요약!L115</f>
        <v>0</v>
      </c>
    </row>
    <row r="110" spans="1:10" ht="15" customHeight="1" x14ac:dyDescent="0.25">
      <c r="A110" s="13">
        <f>+요약!C116</f>
        <v>106</v>
      </c>
      <c r="B110" s="6">
        <f>+요약!D116</f>
        <v>473</v>
      </c>
      <c r="C110" s="6">
        <f>+요약!E116</f>
        <v>0</v>
      </c>
      <c r="D110" s="6">
        <f>+요약!F116</f>
        <v>0</v>
      </c>
      <c r="E110" s="6">
        <f>+요약!G116</f>
        <v>0</v>
      </c>
      <c r="F110" s="6">
        <f>+요약!H116</f>
        <v>0</v>
      </c>
      <c r="G110" s="6">
        <f>+요약!I116</f>
        <v>0</v>
      </c>
      <c r="H110" s="6">
        <f>+요약!J116</f>
        <v>0</v>
      </c>
      <c r="I110" s="6">
        <f>+요약!K116</f>
        <v>0</v>
      </c>
      <c r="J110" s="6">
        <f>+요약!L116</f>
        <v>0</v>
      </c>
    </row>
    <row r="111" spans="1:10" ht="15" customHeight="1" x14ac:dyDescent="0.25">
      <c r="A111" s="13">
        <f>+요약!C117</f>
        <v>107</v>
      </c>
      <c r="B111" s="6">
        <f>+요약!D117</f>
        <v>712</v>
      </c>
      <c r="C111" s="6">
        <f>+요약!E117</f>
        <v>0</v>
      </c>
      <c r="D111" s="6">
        <f>+요약!F117</f>
        <v>0</v>
      </c>
      <c r="E111" s="6">
        <f>+요약!G117</f>
        <v>0</v>
      </c>
      <c r="F111" s="6">
        <f>+요약!H117</f>
        <v>0</v>
      </c>
      <c r="G111" s="6">
        <f>+요약!I117</f>
        <v>0</v>
      </c>
      <c r="H111" s="6">
        <f>+요약!J117</f>
        <v>0</v>
      </c>
      <c r="I111" s="6">
        <f>+요약!K117</f>
        <v>0</v>
      </c>
      <c r="J111" s="6">
        <f>+요약!L117</f>
        <v>0</v>
      </c>
    </row>
    <row r="112" spans="1:10" ht="15" customHeight="1" x14ac:dyDescent="0.25">
      <c r="A112" s="13">
        <f>+요약!C118</f>
        <v>108</v>
      </c>
      <c r="B112" s="6">
        <f>+요약!D118</f>
        <v>1369</v>
      </c>
      <c r="C112" s="6">
        <f>+요약!E118</f>
        <v>0</v>
      </c>
      <c r="D112" s="6">
        <f>+요약!F118</f>
        <v>0</v>
      </c>
      <c r="E112" s="6">
        <f>+요약!G118</f>
        <v>0</v>
      </c>
      <c r="F112" s="6">
        <f>+요약!H118</f>
        <v>0</v>
      </c>
      <c r="G112" s="6">
        <f>+요약!I118</f>
        <v>0</v>
      </c>
      <c r="H112" s="6">
        <f>+요약!J118</f>
        <v>0</v>
      </c>
      <c r="I112" s="6">
        <f>+요약!K118</f>
        <v>0</v>
      </c>
      <c r="J112" s="6">
        <f>+요약!L118</f>
        <v>0</v>
      </c>
    </row>
    <row r="113" spans="1:10" ht="15" customHeight="1" x14ac:dyDescent="0.25">
      <c r="A113" s="13">
        <f>+요약!C119</f>
        <v>109</v>
      </c>
      <c r="B113" s="6">
        <f>+요약!D119</f>
        <v>1223</v>
      </c>
      <c r="C113" s="6">
        <f>+요약!E119</f>
        <v>0</v>
      </c>
      <c r="D113" s="6">
        <f>+요약!F119</f>
        <v>0</v>
      </c>
      <c r="E113" s="6">
        <f>+요약!G119</f>
        <v>0</v>
      </c>
      <c r="F113" s="6">
        <f>+요약!H119</f>
        <v>0</v>
      </c>
      <c r="G113" s="6">
        <f>+요약!I119</f>
        <v>0</v>
      </c>
      <c r="H113" s="6">
        <f>+요약!J119</f>
        <v>0</v>
      </c>
      <c r="I113" s="6">
        <f>+요약!K119</f>
        <v>0</v>
      </c>
      <c r="J113" s="6">
        <f>+요약!L119</f>
        <v>0</v>
      </c>
    </row>
    <row r="114" spans="1:10" ht="15" customHeight="1" x14ac:dyDescent="0.25">
      <c r="A114" s="13">
        <f>+요약!C120</f>
        <v>110</v>
      </c>
      <c r="B114" s="6">
        <f>+요약!D120</f>
        <v>751</v>
      </c>
      <c r="C114" s="6">
        <f>+요약!E120</f>
        <v>0</v>
      </c>
      <c r="D114" s="6">
        <f>+요약!F120</f>
        <v>0</v>
      </c>
      <c r="E114" s="6">
        <f>+요약!G120</f>
        <v>0</v>
      </c>
      <c r="F114" s="6">
        <f>+요약!H120</f>
        <v>0</v>
      </c>
      <c r="G114" s="6">
        <f>+요약!I120</f>
        <v>0</v>
      </c>
      <c r="H114" s="6">
        <f>+요약!J120</f>
        <v>0</v>
      </c>
      <c r="I114" s="6">
        <f>+요약!K120</f>
        <v>0</v>
      </c>
      <c r="J114" s="6">
        <f>+요약!L120</f>
        <v>0</v>
      </c>
    </row>
    <row r="115" spans="1:10" ht="15" customHeight="1" x14ac:dyDescent="0.25">
      <c r="A115" s="13">
        <f>+요약!C121</f>
        <v>111</v>
      </c>
      <c r="B115" s="6">
        <f>+요약!D121</f>
        <v>690</v>
      </c>
      <c r="C115" s="6">
        <f>+요약!E121</f>
        <v>0</v>
      </c>
      <c r="D115" s="6">
        <f>+요약!F121</f>
        <v>0</v>
      </c>
      <c r="E115" s="6">
        <f>+요약!G121</f>
        <v>0</v>
      </c>
      <c r="F115" s="6">
        <f>+요약!H121</f>
        <v>0</v>
      </c>
      <c r="G115" s="6">
        <f>+요약!I121</f>
        <v>0</v>
      </c>
      <c r="H115" s="6">
        <f>+요약!J121</f>
        <v>0</v>
      </c>
      <c r="I115" s="6">
        <f>+요약!K121</f>
        <v>0</v>
      </c>
      <c r="J115" s="6">
        <f>+요약!L121</f>
        <v>0</v>
      </c>
    </row>
    <row r="116" spans="1:10" ht="15" customHeight="1" x14ac:dyDescent="0.25">
      <c r="A116" s="13">
        <f>+요약!C122</f>
        <v>112</v>
      </c>
      <c r="B116" s="6">
        <f>+요약!D122</f>
        <v>960</v>
      </c>
      <c r="C116" s="6">
        <f>+요약!E122</f>
        <v>0</v>
      </c>
      <c r="D116" s="6">
        <f>+요약!F122</f>
        <v>0</v>
      </c>
      <c r="E116" s="6">
        <f>+요약!G122</f>
        <v>0</v>
      </c>
      <c r="F116" s="6">
        <f>+요약!H122</f>
        <v>0</v>
      </c>
      <c r="G116" s="6">
        <f>+요약!I122</f>
        <v>0</v>
      </c>
      <c r="H116" s="6">
        <f>+요약!J122</f>
        <v>0</v>
      </c>
      <c r="I116" s="6">
        <f>+요약!K122</f>
        <v>0</v>
      </c>
      <c r="J116" s="6">
        <f>+요약!L122</f>
        <v>0</v>
      </c>
    </row>
    <row r="117" spans="1:10" ht="15" customHeight="1" x14ac:dyDescent="0.25">
      <c r="A117" s="13">
        <f>+요약!C123</f>
        <v>113</v>
      </c>
      <c r="B117" s="6">
        <f>+요약!D123</f>
        <v>637</v>
      </c>
      <c r="C117" s="6">
        <f>+요약!E123</f>
        <v>0</v>
      </c>
      <c r="D117" s="6">
        <f>+요약!F123</f>
        <v>0</v>
      </c>
      <c r="E117" s="6">
        <f>+요약!G123</f>
        <v>0</v>
      </c>
      <c r="F117" s="6">
        <f>+요약!H123</f>
        <v>0</v>
      </c>
      <c r="G117" s="6">
        <f>+요약!I123</f>
        <v>0</v>
      </c>
      <c r="H117" s="6">
        <f>+요약!J123</f>
        <v>0</v>
      </c>
      <c r="I117" s="6">
        <f>+요약!K123</f>
        <v>0</v>
      </c>
      <c r="J117" s="6">
        <f>+요약!L123</f>
        <v>0</v>
      </c>
    </row>
    <row r="118" spans="1:10" ht="15" customHeight="1" x14ac:dyDescent="0.25">
      <c r="A118" s="13">
        <f>+요약!C124</f>
        <v>114</v>
      </c>
      <c r="B118" s="6">
        <f>+요약!D124</f>
        <v>965</v>
      </c>
      <c r="C118" s="6">
        <f>+요약!E124</f>
        <v>0</v>
      </c>
      <c r="D118" s="6">
        <f>+요약!F124</f>
        <v>0</v>
      </c>
      <c r="E118" s="6">
        <f>+요약!G124</f>
        <v>0</v>
      </c>
      <c r="F118" s="6">
        <f>+요약!H124</f>
        <v>0</v>
      </c>
      <c r="G118" s="6">
        <f>+요약!I124</f>
        <v>0</v>
      </c>
      <c r="H118" s="6">
        <f>+요약!J124</f>
        <v>0</v>
      </c>
      <c r="I118" s="6">
        <f>+요약!K124</f>
        <v>0</v>
      </c>
      <c r="J118" s="6">
        <f>+요약!L124</f>
        <v>0</v>
      </c>
    </row>
    <row r="119" spans="1:10" ht="15" customHeight="1" x14ac:dyDescent="0.25">
      <c r="A119" s="13">
        <f>+요약!C125</f>
        <v>115</v>
      </c>
      <c r="B119" s="6">
        <f>+요약!D125</f>
        <v>1879</v>
      </c>
      <c r="C119" s="6">
        <f>+요약!E125</f>
        <v>0</v>
      </c>
      <c r="D119" s="6">
        <f>+요약!F125</f>
        <v>0</v>
      </c>
      <c r="E119" s="6">
        <f>+요약!G125</f>
        <v>0</v>
      </c>
      <c r="F119" s="6">
        <f>+요약!H125</f>
        <v>0</v>
      </c>
      <c r="G119" s="6">
        <f>+요약!I125</f>
        <v>0</v>
      </c>
      <c r="H119" s="6">
        <f>+요약!J125</f>
        <v>0</v>
      </c>
      <c r="I119" s="6">
        <f>+요약!K125</f>
        <v>0</v>
      </c>
      <c r="J119" s="6">
        <f>+요약!L125</f>
        <v>0</v>
      </c>
    </row>
    <row r="120" spans="1:10" ht="15" customHeight="1" x14ac:dyDescent="0.25">
      <c r="A120" s="13">
        <f>+요약!C126</f>
        <v>116</v>
      </c>
      <c r="B120" s="6">
        <f>+요약!D126</f>
        <v>1832</v>
      </c>
      <c r="C120" s="6">
        <f>+요약!E126</f>
        <v>0</v>
      </c>
      <c r="D120" s="6">
        <f>+요약!F126</f>
        <v>0</v>
      </c>
      <c r="E120" s="6">
        <f>+요약!G126</f>
        <v>0</v>
      </c>
      <c r="F120" s="6">
        <f>+요약!H126</f>
        <v>0</v>
      </c>
      <c r="G120" s="6">
        <f>+요약!I126</f>
        <v>0</v>
      </c>
      <c r="H120" s="6">
        <f>+요약!J126</f>
        <v>0</v>
      </c>
      <c r="I120" s="6">
        <f>+요약!K126</f>
        <v>0</v>
      </c>
      <c r="J120" s="6">
        <f>+요약!L126</f>
        <v>0</v>
      </c>
    </row>
    <row r="121" spans="1:10" ht="15" customHeight="1" x14ac:dyDescent="0.25">
      <c r="A121" s="13">
        <f>+요약!C127</f>
        <v>117</v>
      </c>
      <c r="B121" s="6">
        <f>+요약!D127</f>
        <v>1042</v>
      </c>
      <c r="C121" s="6">
        <f>+요약!E127</f>
        <v>0</v>
      </c>
      <c r="D121" s="6">
        <f>+요약!F127</f>
        <v>0</v>
      </c>
      <c r="E121" s="6">
        <f>+요약!G127</f>
        <v>0</v>
      </c>
      <c r="F121" s="6">
        <f>+요약!H127</f>
        <v>0</v>
      </c>
      <c r="G121" s="6">
        <f>+요약!I127</f>
        <v>0</v>
      </c>
      <c r="H121" s="6">
        <f>+요약!J127</f>
        <v>0</v>
      </c>
      <c r="I121" s="6">
        <f>+요약!K127</f>
        <v>0</v>
      </c>
      <c r="J121" s="6">
        <f>+요약!L127</f>
        <v>0</v>
      </c>
    </row>
    <row r="122" spans="1:10" ht="15" customHeight="1" x14ac:dyDescent="0.25">
      <c r="A122" s="13">
        <f>+요약!C128</f>
        <v>118</v>
      </c>
      <c r="B122" s="6">
        <f>+요약!D128</f>
        <v>1091</v>
      </c>
      <c r="C122" s="6">
        <f>+요약!E128</f>
        <v>0</v>
      </c>
      <c r="D122" s="6">
        <f>+요약!F128</f>
        <v>0</v>
      </c>
      <c r="E122" s="6">
        <f>+요약!G128</f>
        <v>0</v>
      </c>
      <c r="F122" s="6">
        <f>+요약!H128</f>
        <v>0</v>
      </c>
      <c r="G122" s="6">
        <f>+요약!I128</f>
        <v>0</v>
      </c>
      <c r="H122" s="6">
        <f>+요약!J128</f>
        <v>0</v>
      </c>
      <c r="I122" s="6">
        <f>+요약!K128</f>
        <v>0</v>
      </c>
      <c r="J122" s="6">
        <f>+요약!L128</f>
        <v>0</v>
      </c>
    </row>
    <row r="123" spans="1:10" ht="15" customHeight="1" x14ac:dyDescent="0.25">
      <c r="A123" s="13">
        <f>+요약!C129</f>
        <v>119</v>
      </c>
      <c r="B123" s="6">
        <f>+요약!D129</f>
        <v>1156</v>
      </c>
      <c r="C123" s="6">
        <f>+요약!E129</f>
        <v>0</v>
      </c>
      <c r="D123" s="6">
        <f>+요약!F129</f>
        <v>0</v>
      </c>
      <c r="E123" s="6">
        <f>+요약!G129</f>
        <v>0</v>
      </c>
      <c r="F123" s="6">
        <f>+요약!H129</f>
        <v>0</v>
      </c>
      <c r="G123" s="6">
        <f>+요약!I129</f>
        <v>0</v>
      </c>
      <c r="H123" s="6">
        <f>+요약!J129</f>
        <v>0</v>
      </c>
      <c r="I123" s="6">
        <f>+요약!K129</f>
        <v>0</v>
      </c>
      <c r="J123" s="6">
        <f>+요약!L129</f>
        <v>0</v>
      </c>
    </row>
    <row r="124" spans="1:10" ht="15" customHeight="1" x14ac:dyDescent="0.25">
      <c r="A124" s="13">
        <f>+요약!C130</f>
        <v>120</v>
      </c>
      <c r="B124" s="6">
        <f>+요약!D130</f>
        <v>1170</v>
      </c>
      <c r="C124" s="6">
        <f>+요약!E130</f>
        <v>0</v>
      </c>
      <c r="D124" s="6">
        <f>+요약!F130</f>
        <v>0</v>
      </c>
      <c r="E124" s="6">
        <f>+요약!G130</f>
        <v>0</v>
      </c>
      <c r="F124" s="6">
        <f>+요약!H130</f>
        <v>0</v>
      </c>
      <c r="G124" s="6">
        <f>+요약!I130</f>
        <v>0</v>
      </c>
      <c r="H124" s="6">
        <f>+요약!J130</f>
        <v>0</v>
      </c>
      <c r="I124" s="6">
        <f>+요약!K130</f>
        <v>0</v>
      </c>
      <c r="J124" s="6">
        <f>+요약!L130</f>
        <v>0</v>
      </c>
    </row>
    <row r="125" spans="1:10" ht="15" customHeight="1" x14ac:dyDescent="0.25">
      <c r="A125" s="13">
        <f>+요약!C131</f>
        <v>121</v>
      </c>
      <c r="B125" s="6">
        <f>+요약!D131</f>
        <v>1393</v>
      </c>
      <c r="C125" s="6">
        <f>+요약!E131</f>
        <v>0</v>
      </c>
      <c r="D125" s="6">
        <f>+요약!F131</f>
        <v>0</v>
      </c>
      <c r="E125" s="6">
        <f>+요약!G131</f>
        <v>0</v>
      </c>
      <c r="F125" s="6">
        <f>+요약!H131</f>
        <v>0</v>
      </c>
      <c r="G125" s="6">
        <f>+요약!I131</f>
        <v>0</v>
      </c>
      <c r="H125" s="6">
        <f>+요약!J131</f>
        <v>0</v>
      </c>
      <c r="I125" s="6">
        <f>+요약!K131</f>
        <v>0</v>
      </c>
      <c r="J125" s="6">
        <f>+요약!L131</f>
        <v>0</v>
      </c>
    </row>
    <row r="126" spans="1:10" ht="15" customHeight="1" x14ac:dyDescent="0.25">
      <c r="A126" s="13">
        <f>+요약!C132</f>
        <v>122</v>
      </c>
      <c r="B126" s="6">
        <f>+요약!D132</f>
        <v>2534</v>
      </c>
      <c r="C126" s="6">
        <f>+요약!E132</f>
        <v>0</v>
      </c>
      <c r="D126" s="6">
        <f>+요약!F132</f>
        <v>0</v>
      </c>
      <c r="E126" s="6">
        <f>+요약!G132</f>
        <v>0</v>
      </c>
      <c r="F126" s="6">
        <f>+요약!H132</f>
        <v>0</v>
      </c>
      <c r="G126" s="6">
        <f>+요약!I132</f>
        <v>0</v>
      </c>
      <c r="H126" s="6">
        <f>+요약!J132</f>
        <v>0</v>
      </c>
      <c r="I126" s="6">
        <f>+요약!K132</f>
        <v>0</v>
      </c>
      <c r="J126" s="6">
        <f>+요약!L132</f>
        <v>0</v>
      </c>
    </row>
    <row r="127" spans="1:10" ht="15" customHeight="1" x14ac:dyDescent="0.25">
      <c r="A127" s="13">
        <f>+요약!C133</f>
        <v>123</v>
      </c>
      <c r="B127" s="6">
        <f>+요약!D133</f>
        <v>2391</v>
      </c>
      <c r="C127" s="6">
        <f>+요약!E133</f>
        <v>0</v>
      </c>
      <c r="D127" s="6">
        <f>+요약!F133</f>
        <v>0</v>
      </c>
      <c r="E127" s="6">
        <f>+요약!G133</f>
        <v>0</v>
      </c>
      <c r="F127" s="6">
        <f>+요약!H133</f>
        <v>0</v>
      </c>
      <c r="G127" s="6">
        <f>+요약!I133</f>
        <v>0</v>
      </c>
      <c r="H127" s="6">
        <f>+요약!J133</f>
        <v>0</v>
      </c>
      <c r="I127" s="6">
        <f>+요약!K133</f>
        <v>0</v>
      </c>
      <c r="J127" s="6">
        <f>+요약!L133</f>
        <v>0</v>
      </c>
    </row>
    <row r="128" spans="1:10" ht="15" customHeight="1" x14ac:dyDescent="0.25">
      <c r="A128" s="13">
        <f>+요약!C134</f>
        <v>124</v>
      </c>
      <c r="B128" s="6">
        <f>+요약!D134</f>
        <v>642</v>
      </c>
      <c r="C128" s="6">
        <f>+요약!E134</f>
        <v>0</v>
      </c>
      <c r="D128" s="6">
        <f>+요약!F134</f>
        <v>0</v>
      </c>
      <c r="E128" s="6">
        <f>+요약!G134</f>
        <v>0</v>
      </c>
      <c r="F128" s="6">
        <f>+요약!H134</f>
        <v>0</v>
      </c>
      <c r="G128" s="6">
        <f>+요약!I134</f>
        <v>0</v>
      </c>
      <c r="H128" s="6">
        <f>+요약!J134</f>
        <v>0</v>
      </c>
      <c r="I128" s="6">
        <f>+요약!K134</f>
        <v>0</v>
      </c>
      <c r="J128" s="6">
        <f>+요약!L134</f>
        <v>0</v>
      </c>
    </row>
    <row r="129" spans="1:10" ht="15" customHeight="1" x14ac:dyDescent="0.25">
      <c r="A129" s="13">
        <f>+요약!C135</f>
        <v>125</v>
      </c>
      <c r="B129" s="6">
        <f>+요약!D135</f>
        <v>694</v>
      </c>
      <c r="C129" s="6">
        <f>+요약!E135</f>
        <v>0</v>
      </c>
      <c r="D129" s="6">
        <f>+요약!F135</f>
        <v>0</v>
      </c>
      <c r="E129" s="6">
        <f>+요약!G135</f>
        <v>0</v>
      </c>
      <c r="F129" s="6">
        <f>+요약!H135</f>
        <v>0</v>
      </c>
      <c r="G129" s="6">
        <f>+요약!I135</f>
        <v>0</v>
      </c>
      <c r="H129" s="6">
        <f>+요약!J135</f>
        <v>0</v>
      </c>
      <c r="I129" s="6">
        <f>+요약!K135</f>
        <v>0</v>
      </c>
      <c r="J129" s="6">
        <f>+요약!L135</f>
        <v>0</v>
      </c>
    </row>
    <row r="130" spans="1:10" ht="15" customHeight="1" x14ac:dyDescent="0.25">
      <c r="A130" s="13">
        <f>+요약!C136</f>
        <v>126</v>
      </c>
      <c r="B130" s="6">
        <f>+요약!D136</f>
        <v>783</v>
      </c>
      <c r="C130" s="6">
        <f>+요약!E136</f>
        <v>0</v>
      </c>
      <c r="D130" s="6">
        <f>+요약!F136</f>
        <v>0</v>
      </c>
      <c r="E130" s="6">
        <f>+요약!G136</f>
        <v>0</v>
      </c>
      <c r="F130" s="6">
        <f>+요약!H136</f>
        <v>0</v>
      </c>
      <c r="G130" s="6">
        <f>+요약!I136</f>
        <v>0</v>
      </c>
      <c r="H130" s="6">
        <f>+요약!J136</f>
        <v>0</v>
      </c>
      <c r="I130" s="6">
        <f>+요약!K136</f>
        <v>0</v>
      </c>
      <c r="J130" s="6">
        <f>+요약!L136</f>
        <v>0</v>
      </c>
    </row>
    <row r="131" spans="1:10" ht="15" customHeight="1" x14ac:dyDescent="0.25">
      <c r="A131" s="2"/>
    </row>
    <row r="132" spans="1:10" ht="15" customHeight="1" x14ac:dyDescent="0.25">
      <c r="A132" s="2"/>
    </row>
    <row r="133" spans="1:10" ht="15" customHeight="1" x14ac:dyDescent="0.25">
      <c r="A133" s="2"/>
    </row>
    <row r="134" spans="1:10" ht="15" customHeight="1" x14ac:dyDescent="0.25">
      <c r="A134" s="2"/>
    </row>
    <row r="135" spans="1:10" ht="15" customHeight="1" x14ac:dyDescent="0.25">
      <c r="A135" s="2"/>
    </row>
    <row r="136" spans="1:10" ht="15" customHeight="1" x14ac:dyDescent="0.25">
      <c r="A136" s="2"/>
    </row>
    <row r="137" spans="1:10" ht="15" customHeight="1" x14ac:dyDescent="0.25">
      <c r="A137" s="2"/>
    </row>
    <row r="138" spans="1:10" ht="15" customHeight="1" x14ac:dyDescent="0.25">
      <c r="A138" s="2"/>
    </row>
    <row r="139" spans="1:10" ht="15" customHeight="1" x14ac:dyDescent="0.25">
      <c r="A139" s="2"/>
    </row>
    <row r="140" spans="1:10" ht="15" customHeight="1" x14ac:dyDescent="0.25">
      <c r="A140" s="2"/>
    </row>
    <row r="141" spans="1:10" ht="15" customHeight="1" x14ac:dyDescent="0.25">
      <c r="A141" s="2"/>
    </row>
    <row r="142" spans="1:10" ht="15" customHeight="1" x14ac:dyDescent="0.25">
      <c r="A142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3" tint="-0.249977111117893"/>
    <pageSetUpPr fitToPage="1"/>
  </sheetPr>
  <dimension ref="A1:P89"/>
  <sheetViews>
    <sheetView showGridLines="0" workbookViewId="0"/>
  </sheetViews>
  <sheetFormatPr defaultColWidth="14" defaultRowHeight="29.25" customHeight="1" outlineLevelRow="1" x14ac:dyDescent="0.25"/>
  <cols>
    <col min="1" max="1" width="7.5703125" style="36" customWidth="1"/>
    <col min="2" max="10" width="14.42578125" style="55" customWidth="1"/>
    <col min="11" max="11" width="6.140625" style="36" customWidth="1"/>
    <col min="12" max="16384" width="14" style="36"/>
  </cols>
  <sheetData>
    <row r="1" spans="1:16" ht="61.5" customHeight="1" x14ac:dyDescent="0.25">
      <c r="A1" s="209" t="s">
        <v>26</v>
      </c>
      <c r="B1" s="209"/>
      <c r="C1" s="210"/>
      <c r="D1" s="210"/>
      <c r="E1" s="210"/>
      <c r="F1" s="210"/>
      <c r="G1" s="210"/>
      <c r="H1" s="210"/>
      <c r="I1" s="210"/>
      <c r="J1" s="210"/>
      <c r="M1" s="38" t="s">
        <v>23</v>
      </c>
      <c r="N1" s="39">
        <f>+daily!$O$2</f>
        <v>45390</v>
      </c>
      <c r="P1" s="36" t="s">
        <v>90</v>
      </c>
    </row>
    <row r="2" spans="1:16" ht="21" customHeight="1" x14ac:dyDescent="0.25">
      <c r="A2" s="229" t="str">
        <f>+TEXT(N1,"yyyy-mm-dd")&amp;TEXT(F7,"   (#,###일차)")</f>
        <v>2024-04-08   (45일차)</v>
      </c>
      <c r="B2" s="54"/>
      <c r="C2" s="54"/>
      <c r="D2" s="54"/>
      <c r="E2" s="54"/>
      <c r="F2" s="54"/>
      <c r="G2" s="54"/>
      <c r="H2" s="54"/>
      <c r="I2" s="54"/>
      <c r="J2" s="54"/>
    </row>
    <row r="3" spans="1:16" ht="29.25" customHeight="1" x14ac:dyDescent="0.25">
      <c r="A3" s="147" t="s">
        <v>28</v>
      </c>
      <c r="I3" s="56"/>
      <c r="J3" s="56" t="s">
        <v>27</v>
      </c>
    </row>
    <row r="4" spans="1:16" ht="29.25" customHeight="1" x14ac:dyDescent="0.25">
      <c r="B4" s="216" t="s">
        <v>95</v>
      </c>
      <c r="C4" s="217"/>
      <c r="D4" s="218">
        <f>+INDEX(요약!$L$11:$L$146,$F$7)</f>
        <v>143</v>
      </c>
      <c r="E4" s="102" t="s">
        <v>42</v>
      </c>
      <c r="F4" s="103">
        <v>40000</v>
      </c>
      <c r="G4" s="104" t="s">
        <v>41</v>
      </c>
      <c r="H4" s="105">
        <f>+F7/$E$7</f>
        <v>0.4838709677419355</v>
      </c>
      <c r="I4" s="106" t="s">
        <v>40</v>
      </c>
      <c r="J4" s="107">
        <f ca="1">+I7/F4</f>
        <v>0.2344</v>
      </c>
    </row>
    <row r="5" spans="1:16" ht="11.25" customHeight="1" x14ac:dyDescent="0.25">
      <c r="B5" s="159"/>
      <c r="C5" s="159"/>
      <c r="D5" s="159"/>
      <c r="E5" s="159"/>
      <c r="F5" s="159"/>
      <c r="G5" s="159"/>
      <c r="H5" s="159"/>
      <c r="I5" s="159"/>
      <c r="J5" s="194"/>
    </row>
    <row r="6" spans="1:16" ht="29.25" customHeight="1" x14ac:dyDescent="0.25">
      <c r="B6" s="108" t="s">
        <v>19</v>
      </c>
      <c r="C6" s="109" t="s">
        <v>6</v>
      </c>
      <c r="D6" s="110" t="s">
        <v>7</v>
      </c>
      <c r="E6" s="111" t="s">
        <v>22</v>
      </c>
      <c r="F6" s="110" t="s">
        <v>18</v>
      </c>
      <c r="G6" s="110" t="s">
        <v>109</v>
      </c>
      <c r="H6" s="112" t="s">
        <v>43</v>
      </c>
      <c r="I6" s="113" t="s">
        <v>44</v>
      </c>
      <c r="J6" s="192" t="s">
        <v>25</v>
      </c>
    </row>
    <row r="7" spans="1:16" ht="25.5" customHeight="1" x14ac:dyDescent="0.25">
      <c r="B7" s="58" t="s">
        <v>24</v>
      </c>
      <c r="C7" s="77">
        <v>45346</v>
      </c>
      <c r="D7" s="77">
        <v>45438</v>
      </c>
      <c r="E7" s="46">
        <f>+D7-C7+1</f>
        <v>93</v>
      </c>
      <c r="F7" s="47">
        <f>+$N$1-$C$7+1</f>
        <v>45</v>
      </c>
      <c r="G7" s="47">
        <f>+E7-F7</f>
        <v>48</v>
      </c>
      <c r="H7" s="77" t="str">
        <f>+TEXT(C7+F7-1,"yy.mm.dd") &amp;TEXT(C7+F7-1," (aaa)")</f>
        <v>24.04.08 (월)</v>
      </c>
      <c r="I7" s="219">
        <f ca="1">+SUM(OFFSET(요약!$L$11,0,0,일자별요약!$F$7,1))</f>
        <v>9376</v>
      </c>
      <c r="J7" s="220">
        <f ca="1">+I7/F7</f>
        <v>208.35555555555555</v>
      </c>
    </row>
    <row r="8" spans="1:16" ht="25.5" customHeight="1" x14ac:dyDescent="0.25">
      <c r="B8" s="60" t="s">
        <v>32</v>
      </c>
      <c r="C8" s="78">
        <v>45195</v>
      </c>
      <c r="D8" s="78">
        <v>45291</v>
      </c>
      <c r="E8" s="48">
        <f>+D8-C8+1</f>
        <v>97</v>
      </c>
      <c r="F8" s="49">
        <f>+F7</f>
        <v>45</v>
      </c>
      <c r="G8" s="49">
        <f>+E8-F8</f>
        <v>52</v>
      </c>
      <c r="H8" s="78" t="str">
        <f>+TEXT(C8+F8-1,"yy.mm.dd") &amp; " " &amp;TEXT(C8+F8-1,"(aaa)")</f>
        <v>23.11.09 (목)</v>
      </c>
      <c r="I8" s="48">
        <f ca="1">+SUM(OFFSET(요약!$K$11,0,0,일자별요약!$F$8,1))</f>
        <v>10016</v>
      </c>
      <c r="J8" s="84">
        <f ca="1">+I8/F8</f>
        <v>222.57777777777778</v>
      </c>
    </row>
    <row r="9" spans="1:16" ht="25.5" customHeight="1" x14ac:dyDescent="0.25">
      <c r="B9" s="223" t="s">
        <v>96</v>
      </c>
      <c r="C9" s="224">
        <f>+요약!W35</f>
        <v>4427</v>
      </c>
      <c r="D9" s="225">
        <f>+요약!W38</f>
        <v>142.80645161290323</v>
      </c>
      <c r="E9" s="226" t="s">
        <v>79</v>
      </c>
      <c r="F9" s="224">
        <f>+요약!W36</f>
        <v>4949</v>
      </c>
      <c r="G9" s="228">
        <f>+요약!W39</f>
        <v>353.5</v>
      </c>
      <c r="H9" s="227">
        <f>+요약!$W$37</f>
        <v>9376</v>
      </c>
      <c r="I9" s="130">
        <f ca="1">+I7-I8</f>
        <v>-640</v>
      </c>
      <c r="J9" s="193">
        <f ca="1">+J7-J8</f>
        <v>-14.222222222222229</v>
      </c>
      <c r="L9" s="36" t="b">
        <f ca="1">+SUM(C9,F9)=I7</f>
        <v>1</v>
      </c>
    </row>
    <row r="10" spans="1:16" ht="17.25" customHeight="1" x14ac:dyDescent="0.25"/>
    <row r="11" spans="1:16" ht="26.25" customHeight="1" x14ac:dyDescent="0.25">
      <c r="A11" s="147" t="s">
        <v>107</v>
      </c>
    </row>
    <row r="12" spans="1:16" ht="26.25" customHeight="1" x14ac:dyDescent="0.25">
      <c r="A12" s="147"/>
      <c r="B12" s="221" t="s">
        <v>108</v>
      </c>
      <c r="C12" s="221"/>
      <c r="D12" s="221"/>
      <c r="E12" s="222" t="s">
        <v>110</v>
      </c>
      <c r="F12" s="221"/>
      <c r="G12" s="221"/>
      <c r="H12" s="222" t="s">
        <v>106</v>
      </c>
      <c r="I12" s="222"/>
      <c r="J12" s="222"/>
    </row>
    <row r="13" spans="1:16" ht="26.25" customHeight="1" x14ac:dyDescent="0.25">
      <c r="B13" s="213">
        <f ca="1">+ROUND($J$66+(J9*$E$8),-2)</f>
        <v>27200</v>
      </c>
      <c r="C13" s="213"/>
      <c r="D13" s="213"/>
      <c r="E13" s="215">
        <f ca="1">+ROUND(J7*E7,-2)</f>
        <v>19400</v>
      </c>
      <c r="F13" s="214"/>
      <c r="G13" s="214"/>
      <c r="H13" s="215">
        <f ca="1">+B13-E13</f>
        <v>7800</v>
      </c>
      <c r="I13" s="215"/>
      <c r="J13" s="215"/>
      <c r="L13" s="195"/>
      <c r="M13" s="195"/>
    </row>
    <row r="14" spans="1:16" ht="19.5" customHeight="1" x14ac:dyDescent="0.25"/>
    <row r="15" spans="1:16" ht="22.5" customHeight="1" outlineLevel="1" x14ac:dyDescent="0.25">
      <c r="B15" s="76" t="s">
        <v>59</v>
      </c>
    </row>
    <row r="16" spans="1:16" ht="22.5" customHeight="1" outlineLevel="1" x14ac:dyDescent="0.25">
      <c r="B16" s="914" t="s">
        <v>49</v>
      </c>
      <c r="C16" s="908" t="s">
        <v>53</v>
      </c>
      <c r="D16" s="908" t="s">
        <v>54</v>
      </c>
      <c r="E16" s="910" t="s">
        <v>55</v>
      </c>
      <c r="F16" s="79"/>
      <c r="G16" s="910" t="s">
        <v>56</v>
      </c>
      <c r="H16" s="79"/>
      <c r="I16" s="908" t="s">
        <v>62</v>
      </c>
      <c r="J16" s="903" t="s">
        <v>63</v>
      </c>
    </row>
    <row r="17" spans="1:10" ht="22.5" customHeight="1" outlineLevel="1" x14ac:dyDescent="0.25">
      <c r="B17" s="915"/>
      <c r="C17" s="909"/>
      <c r="D17" s="909"/>
      <c r="E17" s="909"/>
      <c r="F17" s="80" t="s">
        <v>57</v>
      </c>
      <c r="G17" s="909"/>
      <c r="H17" s="80" t="s">
        <v>61</v>
      </c>
      <c r="I17" s="909"/>
      <c r="J17" s="904"/>
    </row>
    <row r="18" spans="1:10" ht="21" customHeight="1" outlineLevel="1" x14ac:dyDescent="0.25">
      <c r="B18" s="96" t="s">
        <v>50</v>
      </c>
      <c r="C18" s="90">
        <v>9000</v>
      </c>
      <c r="D18" s="90">
        <v>6141</v>
      </c>
      <c r="E18" s="115">
        <v>620</v>
      </c>
      <c r="F18" s="116">
        <f>+E18/D18*100</f>
        <v>10.096075557726754</v>
      </c>
      <c r="G18" s="90">
        <v>1100</v>
      </c>
      <c r="H18" s="91">
        <f>+G18/(D18-E18)*100</f>
        <v>19.923926824850572</v>
      </c>
      <c r="I18" s="90">
        <f>+D18-E18-G18</f>
        <v>4421</v>
      </c>
      <c r="J18" s="905">
        <f ca="1">+G22/I7</f>
        <v>0.24061433447098976</v>
      </c>
    </row>
    <row r="19" spans="1:10" ht="21" customHeight="1" outlineLevel="1" x14ac:dyDescent="0.25">
      <c r="B19" s="96" t="s">
        <v>60</v>
      </c>
      <c r="C19" s="92">
        <v>9000</v>
      </c>
      <c r="D19" s="92">
        <v>618</v>
      </c>
      <c r="E19" s="117">
        <v>42</v>
      </c>
      <c r="F19" s="118">
        <f t="shared" ref="F19:F22" si="0">+E19/D19*100</f>
        <v>6.7961165048543686</v>
      </c>
      <c r="G19" s="92">
        <v>177</v>
      </c>
      <c r="H19" s="93">
        <f t="shared" ref="H19:H22" si="1">+G19/(D19-E19)*100</f>
        <v>30.729166666666668</v>
      </c>
      <c r="I19" s="92">
        <f t="shared" ref="I19:I21" si="2">+D19-E19-G19</f>
        <v>399</v>
      </c>
      <c r="J19" s="906"/>
    </row>
    <row r="20" spans="1:10" ht="21" customHeight="1" outlineLevel="1" x14ac:dyDescent="0.25">
      <c r="B20" s="96" t="s">
        <v>51</v>
      </c>
      <c r="C20" s="92">
        <v>9000</v>
      </c>
      <c r="D20" s="92">
        <v>2535</v>
      </c>
      <c r="E20" s="117">
        <v>213</v>
      </c>
      <c r="F20" s="118">
        <f t="shared" si="0"/>
        <v>8.4023668639053248</v>
      </c>
      <c r="G20" s="92">
        <v>594</v>
      </c>
      <c r="H20" s="93">
        <f t="shared" si="1"/>
        <v>25.581395348837212</v>
      </c>
      <c r="I20" s="92">
        <f t="shared" si="2"/>
        <v>1728</v>
      </c>
      <c r="J20" s="906"/>
    </row>
    <row r="21" spans="1:10" ht="21" customHeight="1" outlineLevel="1" x14ac:dyDescent="0.25">
      <c r="B21" s="96" t="s">
        <v>52</v>
      </c>
      <c r="C21" s="92">
        <v>9000</v>
      </c>
      <c r="D21" s="92">
        <v>3293</v>
      </c>
      <c r="E21" s="117">
        <v>391</v>
      </c>
      <c r="F21" s="118">
        <f t="shared" si="0"/>
        <v>11.873671424233221</v>
      </c>
      <c r="G21" s="92">
        <v>385</v>
      </c>
      <c r="H21" s="93">
        <f t="shared" si="1"/>
        <v>13.26671261199173</v>
      </c>
      <c r="I21" s="92">
        <f t="shared" si="2"/>
        <v>2517</v>
      </c>
      <c r="J21" s="906"/>
    </row>
    <row r="22" spans="1:10" ht="21" customHeight="1" outlineLevel="1" x14ac:dyDescent="0.25">
      <c r="B22" s="97" t="s">
        <v>58</v>
      </c>
      <c r="C22" s="94">
        <v>9000</v>
      </c>
      <c r="D22" s="94">
        <f>+SUM(D18:D21)</f>
        <v>12587</v>
      </c>
      <c r="E22" s="119">
        <f>+SUM(E18:E21)</f>
        <v>1266</v>
      </c>
      <c r="F22" s="120">
        <f t="shared" si="0"/>
        <v>10.057996345435766</v>
      </c>
      <c r="G22" s="98">
        <f>+SUM(G18:G21)</f>
        <v>2256</v>
      </c>
      <c r="H22" s="95">
        <f t="shared" si="1"/>
        <v>19.927568236021553</v>
      </c>
      <c r="I22" s="98">
        <f>+SUM(I18:I21)</f>
        <v>9065</v>
      </c>
      <c r="J22" s="907"/>
    </row>
    <row r="23" spans="1:10" customFormat="1" ht="14.25" customHeight="1" outlineLevel="1" x14ac:dyDescent="0.25">
      <c r="B23" s="128"/>
      <c r="C23" s="128"/>
      <c r="D23" s="128"/>
      <c r="E23" s="128"/>
      <c r="F23" s="128"/>
      <c r="G23" s="128"/>
      <c r="H23" s="128"/>
      <c r="I23" s="128"/>
      <c r="J23" s="128"/>
    </row>
    <row r="24" spans="1:10" ht="29.25" customHeight="1" thickBot="1" x14ac:dyDescent="0.3">
      <c r="A24" s="147" t="s">
        <v>87</v>
      </c>
    </row>
    <row r="25" spans="1:10" ht="29.25" customHeight="1" x14ac:dyDescent="0.25">
      <c r="B25" s="231" t="s">
        <v>29</v>
      </c>
      <c r="C25" s="248">
        <f>+F7</f>
        <v>45</v>
      </c>
      <c r="D25" s="240">
        <f>+C25-1</f>
        <v>44</v>
      </c>
      <c r="E25" s="230">
        <f t="shared" ref="E25:I25" si="3">+D25-1</f>
        <v>43</v>
      </c>
      <c r="F25" s="230">
        <f t="shared" si="3"/>
        <v>42</v>
      </c>
      <c r="G25" s="230">
        <f t="shared" si="3"/>
        <v>41</v>
      </c>
      <c r="H25" s="230">
        <f t="shared" si="3"/>
        <v>40</v>
      </c>
      <c r="I25" s="230">
        <f t="shared" si="3"/>
        <v>39</v>
      </c>
      <c r="J25" s="121"/>
    </row>
    <row r="26" spans="1:10" ht="22.5" customHeight="1" x14ac:dyDescent="0.25">
      <c r="B26" s="232" t="s">
        <v>69</v>
      </c>
      <c r="C26" s="249">
        <f>+$N$1</f>
        <v>45390</v>
      </c>
      <c r="D26" s="241">
        <f>+C26-1</f>
        <v>45389</v>
      </c>
      <c r="E26" s="126">
        <f>+D26-1</f>
        <v>45388</v>
      </c>
      <c r="F26" s="126">
        <f>+E26-1</f>
        <v>45387</v>
      </c>
      <c r="G26" s="126">
        <f>+F26-1</f>
        <v>45386</v>
      </c>
      <c r="H26" s="126">
        <f>+G26-1</f>
        <v>45385</v>
      </c>
      <c r="I26" s="126">
        <f>+H26-1</f>
        <v>45384</v>
      </c>
      <c r="J26" s="127" t="s">
        <v>105</v>
      </c>
    </row>
    <row r="27" spans="1:10" ht="22.5" customHeight="1" thickBot="1" x14ac:dyDescent="0.3">
      <c r="B27" s="232" t="s">
        <v>70</v>
      </c>
      <c r="C27" s="250" t="str">
        <f>+TEXT(C26,"aaa")</f>
        <v>월</v>
      </c>
      <c r="D27" s="242" t="str">
        <f t="shared" ref="D27:I27" si="4">+TEXT(D26,"aaa")</f>
        <v>일</v>
      </c>
      <c r="E27" s="124" t="str">
        <f t="shared" si="4"/>
        <v>토</v>
      </c>
      <c r="F27" s="124" t="str">
        <f t="shared" si="4"/>
        <v>금</v>
      </c>
      <c r="G27" s="124" t="str">
        <f t="shared" si="4"/>
        <v>목</v>
      </c>
      <c r="H27" s="124" t="str">
        <f t="shared" si="4"/>
        <v>수</v>
      </c>
      <c r="I27" s="124" t="str">
        <f t="shared" si="4"/>
        <v>화</v>
      </c>
      <c r="J27" s="125"/>
    </row>
    <row r="28" spans="1:10" ht="21.75" customHeight="1" thickBot="1" x14ac:dyDescent="0.3">
      <c r="B28" s="233" t="s">
        <v>24</v>
      </c>
      <c r="C28" s="251">
        <f>+SUMPRODUCT((요약!$D$11:$L$136)*(요약!$D$6:$L$6=$B28)*(요약!$C$11:$C$136=C$25))</f>
        <v>143</v>
      </c>
      <c r="D28" s="243">
        <f>+SUMPRODUCT((요약!$D$11:$L$136)*(요약!$D$6:$L$6=$B28)*(요약!$C$11:$C$136=D$25))</f>
        <v>302</v>
      </c>
      <c r="E28" s="163">
        <f>+SUMPRODUCT((요약!$D$11:$L$136)*(요약!$D$6:$L$6=$B28)*(요약!$C$11:$C$136=E$25))</f>
        <v>343</v>
      </c>
      <c r="F28" s="163">
        <f>+SUMPRODUCT((요약!$D$11:$L$136)*(요약!$D$6:$L$6=$B28)*(요약!$C$11:$C$136=F$25))</f>
        <v>308</v>
      </c>
      <c r="G28" s="163">
        <f>+SUMPRODUCT((요약!$D$11:$L$136)*(요약!$D$6:$L$6=$B28)*(요약!$C$11:$C$136=G$25))</f>
        <v>116</v>
      </c>
      <c r="H28" s="163">
        <f>+SUMPRODUCT((요약!$D$11:$L$136)*(요약!$D$6:$L$6=$B28)*(요약!$C$11:$C$136=H$25))</f>
        <v>147</v>
      </c>
      <c r="I28" s="163">
        <f>+SUMPRODUCT((요약!$D$11:$L$136)*(요약!$D$6:$L$6=$B28)*(요약!$C$11:$C$136=I$25))</f>
        <v>103</v>
      </c>
      <c r="J28" s="164"/>
    </row>
    <row r="29" spans="1:10" ht="21.75" customHeight="1" x14ac:dyDescent="0.25">
      <c r="B29" s="96" t="s">
        <v>32</v>
      </c>
      <c r="C29" s="252">
        <f>+SUMPRODUCT((요약!$D$11:$L$136)*(요약!$D$6:$L$6=$B29)*(요약!$C$11:$C$136=C$25))</f>
        <v>126</v>
      </c>
      <c r="D29" s="244">
        <f>+SUMPRODUCT((요약!$D$11:$L$136)*(요약!$D$6:$L$6=$B29)*(요약!$C$11:$C$136=D$25))</f>
        <v>161</v>
      </c>
      <c r="E29" s="44">
        <f>+SUMPRODUCT((요약!$D$11:$L$136)*(요약!$D$6:$L$6=$B29)*(요약!$C$11:$C$136=E$25))</f>
        <v>135</v>
      </c>
      <c r="F29" s="44">
        <f>+SUMPRODUCT((요약!$D$11:$L$136)*(요약!$D$6:$L$6=$B29)*(요약!$C$11:$C$136=F$25))</f>
        <v>0</v>
      </c>
      <c r="G29" s="44">
        <f>+SUMPRODUCT((요약!$D$11:$L$136)*(요약!$D$6:$L$6=$B29)*(요약!$C$11:$C$136=G$25))</f>
        <v>427</v>
      </c>
      <c r="H29" s="44">
        <f>+SUMPRODUCT((요약!$D$11:$L$136)*(요약!$D$6:$L$6=$B29)*(요약!$C$11:$C$136=H$25))</f>
        <v>487</v>
      </c>
      <c r="I29" s="44">
        <f>+SUMPRODUCT((요약!$D$11:$L$136)*(요약!$D$6:$L$6=$B29)*(요약!$C$11:$C$136=I$25))</f>
        <v>151</v>
      </c>
      <c r="J29" s="64"/>
    </row>
    <row r="30" spans="1:10" ht="21.75" customHeight="1" x14ac:dyDescent="0.25">
      <c r="B30" s="96" t="s">
        <v>30</v>
      </c>
      <c r="C30" s="252">
        <f>+SUMPRODUCT((요약!$D$11:$L$136)*(요약!$D$6:$L$6=$B30)*(요약!$C$11:$C$136=C$25))</f>
        <v>159</v>
      </c>
      <c r="D30" s="244">
        <f>+SUMPRODUCT((요약!$D$11:$L$136)*(요약!$D$6:$L$6=$B30)*(요약!$C$11:$C$136=D$25))</f>
        <v>74</v>
      </c>
      <c r="E30" s="44">
        <f>+SUMPRODUCT((요약!$D$11:$L$136)*(요약!$D$6:$L$6=$B30)*(요약!$C$11:$C$136=E$25))</f>
        <v>102</v>
      </c>
      <c r="F30" s="44">
        <f>+SUMPRODUCT((요약!$D$11:$L$136)*(요약!$D$6:$L$6=$B30)*(요약!$C$11:$C$136=F$25))</f>
        <v>122</v>
      </c>
      <c r="G30" s="44">
        <f>+SUMPRODUCT((요약!$D$11:$L$136)*(요약!$D$6:$L$6=$B30)*(요약!$C$11:$C$136=G$25))</f>
        <v>25</v>
      </c>
      <c r="H30" s="44">
        <f>+SUMPRODUCT((요약!$D$11:$L$136)*(요약!$D$6:$L$6=$B30)*(요약!$C$11:$C$136=H$25))</f>
        <v>158</v>
      </c>
      <c r="I30" s="44">
        <f>+SUMPRODUCT((요약!$D$11:$L$136)*(요약!$D$6:$L$6=$B30)*(요약!$C$11:$C$136=I$25))</f>
        <v>195</v>
      </c>
      <c r="J30" s="64"/>
    </row>
    <row r="31" spans="1:10" ht="21.75" customHeight="1" x14ac:dyDescent="0.25">
      <c r="B31" s="96" t="s">
        <v>31</v>
      </c>
      <c r="C31" s="252">
        <f>+SUMPRODUCT((요약!$D$11:$L$136)*(요약!$D$6:$L$6=$B31)*(요약!$C$11:$C$136=C$25))</f>
        <v>258</v>
      </c>
      <c r="D31" s="244">
        <f>+SUMPRODUCT((요약!$D$11:$L$136)*(요약!$D$6:$L$6=$B31)*(요약!$C$11:$C$136=D$25))</f>
        <v>507</v>
      </c>
      <c r="E31" s="44">
        <f>+SUMPRODUCT((요약!$D$11:$L$136)*(요약!$D$6:$L$6=$B31)*(요약!$C$11:$C$136=E$25))</f>
        <v>638</v>
      </c>
      <c r="F31" s="44">
        <f>+SUMPRODUCT((요약!$D$11:$L$136)*(요약!$D$6:$L$6=$B31)*(요약!$C$11:$C$136=F$25))</f>
        <v>256</v>
      </c>
      <c r="G31" s="44">
        <f>+SUMPRODUCT((요약!$D$11:$L$136)*(요약!$D$6:$L$6=$B31)*(요약!$C$11:$C$136=G$25))</f>
        <v>186</v>
      </c>
      <c r="H31" s="44">
        <f>+SUMPRODUCT((요약!$D$11:$L$136)*(요약!$D$6:$L$6=$B31)*(요약!$C$11:$C$136=H$25))</f>
        <v>198</v>
      </c>
      <c r="I31" s="44">
        <f>+SUMPRODUCT((요약!$D$11:$L$136)*(요약!$D$6:$L$6=$B31)*(요약!$C$11:$C$136=I$25))</f>
        <v>677</v>
      </c>
      <c r="J31" s="64"/>
    </row>
    <row r="32" spans="1:10" ht="21.75" customHeight="1" x14ac:dyDescent="0.25">
      <c r="B32" s="96" t="s">
        <v>33</v>
      </c>
      <c r="C32" s="252">
        <f>+SUMPRODUCT((요약!$D$11:$L$136)*(요약!$D$6:$L$6=$B32)*(요약!$C$11:$C$136=C$25))</f>
        <v>295</v>
      </c>
      <c r="D32" s="244">
        <f>+SUMPRODUCT((요약!$D$11:$L$136)*(요약!$D$6:$L$6=$B32)*(요약!$C$11:$C$136=D$25))</f>
        <v>0</v>
      </c>
      <c r="E32" s="44">
        <f>+SUMPRODUCT((요약!$D$11:$L$136)*(요약!$D$6:$L$6=$B32)*(요약!$C$11:$C$136=E$25))</f>
        <v>0</v>
      </c>
      <c r="F32" s="44">
        <f>+SUMPRODUCT((요약!$D$11:$L$136)*(요약!$D$6:$L$6=$B32)*(요약!$C$11:$C$136=F$25))</f>
        <v>127</v>
      </c>
      <c r="G32" s="44">
        <f>+SUMPRODUCT((요약!$D$11:$L$136)*(요약!$D$6:$L$6=$B32)*(요약!$C$11:$C$136=G$25))</f>
        <v>138</v>
      </c>
      <c r="H32" s="44">
        <f>+SUMPRODUCT((요약!$D$11:$L$136)*(요약!$D$6:$L$6=$B32)*(요약!$C$11:$C$136=H$25))</f>
        <v>76</v>
      </c>
      <c r="I32" s="44">
        <f>+SUMPRODUCT((요약!$D$11:$L$136)*(요약!$D$6:$L$6=$B32)*(요약!$C$11:$C$136=I$25))</f>
        <v>96</v>
      </c>
      <c r="J32" s="64"/>
    </row>
    <row r="33" spans="1:10" ht="21.75" customHeight="1" x14ac:dyDescent="0.25">
      <c r="B33" s="96" t="s">
        <v>34</v>
      </c>
      <c r="C33" s="252">
        <f>+SUMPRODUCT((요약!$D$11:$L$136)*(요약!$D$6:$L$6=$B33)*(요약!$C$11:$C$136=C$25))</f>
        <v>138</v>
      </c>
      <c r="D33" s="244">
        <f>+SUMPRODUCT((요약!$D$11:$L$136)*(요약!$D$6:$L$6=$B33)*(요약!$C$11:$C$136=D$25))</f>
        <v>170</v>
      </c>
      <c r="E33" s="44">
        <f>+SUMPRODUCT((요약!$D$11:$L$136)*(요약!$D$6:$L$6=$B33)*(요약!$C$11:$C$136=E$25))</f>
        <v>173</v>
      </c>
      <c r="F33" s="44">
        <f>+SUMPRODUCT((요약!$D$11:$L$136)*(요약!$D$6:$L$6=$B33)*(요약!$C$11:$C$136=F$25))</f>
        <v>406</v>
      </c>
      <c r="G33" s="44">
        <f>+SUMPRODUCT((요약!$D$11:$L$136)*(요약!$D$6:$L$6=$B33)*(요약!$C$11:$C$136=G$25))</f>
        <v>656</v>
      </c>
      <c r="H33" s="44">
        <f>+SUMPRODUCT((요약!$D$11:$L$136)*(요약!$D$6:$L$6=$B33)*(요약!$C$11:$C$136=H$25))</f>
        <v>274</v>
      </c>
      <c r="I33" s="44">
        <f>+SUMPRODUCT((요약!$D$11:$L$136)*(요약!$D$6:$L$6=$B33)*(요약!$C$11:$C$136=I$25))</f>
        <v>182</v>
      </c>
      <c r="J33" s="122"/>
    </row>
    <row r="34" spans="1:10" ht="21.75" customHeight="1" x14ac:dyDescent="0.25">
      <c r="B34" s="234" t="s">
        <v>35</v>
      </c>
      <c r="C34" s="252">
        <f>+SUMPRODUCT((요약!$D$11:$L$136)*(요약!$D$6:$L$6=$B34)*(요약!$C$11:$C$136=C$25))</f>
        <v>465</v>
      </c>
      <c r="D34" s="244">
        <f>+SUMPRODUCT((요약!$D$11:$L$136)*(요약!$D$6:$L$6=$B34)*(요약!$C$11:$C$136=D$25))</f>
        <v>177</v>
      </c>
      <c r="E34" s="44">
        <f>+SUMPRODUCT((요약!$D$11:$L$136)*(요약!$D$6:$L$6=$B34)*(요약!$C$11:$C$136=E$25))</f>
        <v>133</v>
      </c>
      <c r="F34" s="44">
        <f>+SUMPRODUCT((요약!$D$11:$L$136)*(요약!$D$6:$L$6=$B34)*(요약!$C$11:$C$136=F$25))</f>
        <v>157</v>
      </c>
      <c r="G34" s="44">
        <f>+SUMPRODUCT((요약!$D$11:$L$136)*(요약!$D$6:$L$6=$B34)*(요약!$C$11:$C$136=G$25))</f>
        <v>106</v>
      </c>
      <c r="H34" s="44">
        <f>+SUMPRODUCT((요약!$D$11:$L$136)*(요약!$D$6:$L$6=$B34)*(요약!$C$11:$C$136=H$25))</f>
        <v>0</v>
      </c>
      <c r="I34" s="44">
        <f>+SUMPRODUCT((요약!$D$11:$L$136)*(요약!$D$6:$L$6=$B34)*(요약!$C$11:$C$136=I$25))</f>
        <v>355</v>
      </c>
      <c r="J34" s="122"/>
    </row>
    <row r="35" spans="1:10" ht="21.75" customHeight="1" x14ac:dyDescent="0.25">
      <c r="B35" s="234" t="s">
        <v>36</v>
      </c>
      <c r="C35" s="252">
        <f>+SUMPRODUCT((요약!$D$11:$L$136)*(요약!$D$6:$L$6=$B35)*(요약!$C$11:$C$136=C$25))</f>
        <v>158</v>
      </c>
      <c r="D35" s="244">
        <f>+SUMPRODUCT((요약!$D$11:$L$136)*(요약!$D$6:$L$6=$B35)*(요약!$C$11:$C$136=D$25))</f>
        <v>251</v>
      </c>
      <c r="E35" s="44">
        <f>+SUMPRODUCT((요약!$D$11:$L$136)*(요약!$D$6:$L$6=$B35)*(요약!$C$11:$C$136=E$25))</f>
        <v>76</v>
      </c>
      <c r="F35" s="44">
        <f>+SUMPRODUCT((요약!$D$11:$L$136)*(요약!$D$6:$L$6=$B35)*(요약!$C$11:$C$136=F$25))</f>
        <v>51</v>
      </c>
      <c r="G35" s="44">
        <f>+SUMPRODUCT((요약!$D$11:$L$136)*(요약!$D$6:$L$6=$B35)*(요약!$C$11:$C$136=G$25))</f>
        <v>105</v>
      </c>
      <c r="H35" s="44">
        <f>+SUMPRODUCT((요약!$D$11:$L$136)*(요약!$D$6:$L$6=$B35)*(요약!$C$11:$C$136=H$25))</f>
        <v>99</v>
      </c>
      <c r="I35" s="44">
        <f>+SUMPRODUCT((요약!$D$11:$L$136)*(요약!$D$6:$L$6=$B35)*(요약!$C$11:$C$136=I$25))</f>
        <v>0</v>
      </c>
      <c r="J35" s="122"/>
    </row>
    <row r="36" spans="1:10" ht="21.75" customHeight="1" x14ac:dyDescent="0.25">
      <c r="B36" s="235" t="s">
        <v>37</v>
      </c>
      <c r="C36" s="252">
        <f>+SUMPRODUCT((요약!$D$11:$L$136)*(요약!$D$6:$L$6=$B36)*(요약!$C$11:$C$136=C$25))</f>
        <v>1461</v>
      </c>
      <c r="D36" s="244">
        <f>+SUMPRODUCT((요약!$D$11:$L$136)*(요약!$D$6:$L$6=$B36)*(요약!$C$11:$C$136=D$25))</f>
        <v>755</v>
      </c>
      <c r="E36" s="44">
        <f>+SUMPRODUCT((요약!$D$11:$L$136)*(요약!$D$6:$L$6=$B36)*(요약!$C$11:$C$136=E$25))</f>
        <v>561</v>
      </c>
      <c r="F36" s="44">
        <f>+SUMPRODUCT((요약!$D$11:$L$136)*(요약!$D$6:$L$6=$B36)*(요약!$C$11:$C$136=F$25))</f>
        <v>697</v>
      </c>
      <c r="G36" s="44">
        <f>+SUMPRODUCT((요약!$D$11:$L$136)*(요약!$D$6:$L$6=$B36)*(요약!$C$11:$C$136=G$25))</f>
        <v>579</v>
      </c>
      <c r="H36" s="44">
        <f>+SUMPRODUCT((요약!$D$11:$L$136)*(요약!$D$6:$L$6=$B36)*(요약!$C$11:$C$136=H$25))</f>
        <v>617</v>
      </c>
      <c r="I36" s="44">
        <f>+SUMPRODUCT((요약!$D$11:$L$136)*(요약!$D$6:$L$6=$B36)*(요약!$C$11:$C$136=I$25))</f>
        <v>1300</v>
      </c>
      <c r="J36" s="67"/>
    </row>
    <row r="37" spans="1:10" ht="21.75" customHeight="1" x14ac:dyDescent="0.25">
      <c r="B37" s="236" t="s">
        <v>39</v>
      </c>
      <c r="C37" s="253">
        <f>+AVERAGE(C29:C36)</f>
        <v>382.5</v>
      </c>
      <c r="D37" s="245">
        <f t="shared" ref="D37:I37" si="5">+AVERAGE(D29:D36)</f>
        <v>261.875</v>
      </c>
      <c r="E37" s="176">
        <f t="shared" si="5"/>
        <v>227.25</v>
      </c>
      <c r="F37" s="176">
        <f t="shared" si="5"/>
        <v>227</v>
      </c>
      <c r="G37" s="176">
        <f t="shared" si="5"/>
        <v>277.75</v>
      </c>
      <c r="H37" s="176">
        <f t="shared" si="5"/>
        <v>238.625</v>
      </c>
      <c r="I37" s="176">
        <f t="shared" si="5"/>
        <v>369.5</v>
      </c>
      <c r="J37" s="64"/>
    </row>
    <row r="38" spans="1:10" ht="21.75" customHeight="1" x14ac:dyDescent="0.25">
      <c r="B38" s="237" t="s">
        <v>64</v>
      </c>
      <c r="C38" s="254">
        <f>+C28-C37</f>
        <v>-239.5</v>
      </c>
      <c r="D38" s="246">
        <f t="shared" ref="D38:I38" si="6">+D28-D37</f>
        <v>40.125</v>
      </c>
      <c r="E38" s="177">
        <f t="shared" si="6"/>
        <v>115.75</v>
      </c>
      <c r="F38" s="177">
        <f t="shared" si="6"/>
        <v>81</v>
      </c>
      <c r="G38" s="177">
        <f t="shared" si="6"/>
        <v>-161.75</v>
      </c>
      <c r="H38" s="177">
        <f t="shared" si="6"/>
        <v>-91.625</v>
      </c>
      <c r="I38" s="177">
        <f t="shared" si="6"/>
        <v>-266.5</v>
      </c>
      <c r="J38" s="178">
        <f>+AVERAGE(C38:I38)</f>
        <v>-74.642857142857139</v>
      </c>
    </row>
    <row r="39" spans="1:10" ht="21.75" customHeight="1" x14ac:dyDescent="0.25">
      <c r="B39" s="238" t="s">
        <v>65</v>
      </c>
      <c r="C39" s="253">
        <f>+AVERAGE(C35,C34)</f>
        <v>311.5</v>
      </c>
      <c r="D39" s="245">
        <f t="shared" ref="D39:I39" si="7">+AVERAGE(D35,D34)</f>
        <v>214</v>
      </c>
      <c r="E39" s="176">
        <f t="shared" si="7"/>
        <v>104.5</v>
      </c>
      <c r="F39" s="176">
        <f t="shared" si="7"/>
        <v>104</v>
      </c>
      <c r="G39" s="176">
        <f t="shared" si="7"/>
        <v>105.5</v>
      </c>
      <c r="H39" s="176">
        <f t="shared" si="7"/>
        <v>49.5</v>
      </c>
      <c r="I39" s="176">
        <f t="shared" si="7"/>
        <v>177.5</v>
      </c>
      <c r="J39" s="64"/>
    </row>
    <row r="40" spans="1:10" ht="21.75" customHeight="1" thickBot="1" x14ac:dyDescent="0.3">
      <c r="B40" s="239" t="s">
        <v>64</v>
      </c>
      <c r="C40" s="255">
        <f>+C28-C39</f>
        <v>-168.5</v>
      </c>
      <c r="D40" s="247">
        <f t="shared" ref="D40:I40" si="8">+D28-D39</f>
        <v>88</v>
      </c>
      <c r="E40" s="179">
        <f t="shared" si="8"/>
        <v>238.5</v>
      </c>
      <c r="F40" s="179">
        <f t="shared" si="8"/>
        <v>204</v>
      </c>
      <c r="G40" s="179">
        <f t="shared" si="8"/>
        <v>10.5</v>
      </c>
      <c r="H40" s="179">
        <f t="shared" si="8"/>
        <v>97.5</v>
      </c>
      <c r="I40" s="179">
        <f t="shared" si="8"/>
        <v>-74.5</v>
      </c>
      <c r="J40" s="180">
        <f>+AVERAGE(C40:I40)</f>
        <v>56.5</v>
      </c>
    </row>
    <row r="41" spans="1:10" ht="21.75" customHeight="1" x14ac:dyDescent="0.25">
      <c r="B41" s="55" t="s">
        <v>68</v>
      </c>
    </row>
    <row r="42" spans="1:10" ht="18" customHeight="1" x14ac:dyDescent="0.25"/>
    <row r="43" spans="1:10" s="55" customFormat="1" ht="25.5" customHeight="1" x14ac:dyDescent="0.25">
      <c r="A43" s="913">
        <f>+F7</f>
        <v>45</v>
      </c>
      <c r="B43" s="913"/>
      <c r="C43" s="913"/>
      <c r="D43" s="913"/>
      <c r="E43" s="913"/>
      <c r="F43" s="913"/>
      <c r="G43" s="913"/>
      <c r="H43" s="913"/>
      <c r="I43" s="913"/>
      <c r="J43" s="170">
        <f>+F8</f>
        <v>45</v>
      </c>
    </row>
    <row r="44" spans="1:10" s="55" customFormat="1" ht="21" customHeight="1" x14ac:dyDescent="0.25">
      <c r="B44" s="57" t="str">
        <f>+요약!O30</f>
        <v>바스키아</v>
      </c>
      <c r="C44" s="189" t="str">
        <f>+요약!P30</f>
        <v>김정기</v>
      </c>
      <c r="D44" s="189" t="str">
        <f>+요약!Q30</f>
        <v>드리머</v>
      </c>
      <c r="E44" s="45" t="str">
        <f>+요약!R30</f>
        <v>알렉스</v>
      </c>
      <c r="F44" s="45" t="str">
        <f>+요약!S30</f>
        <v>페어리</v>
      </c>
      <c r="G44" s="45" t="str">
        <f>+요약!T30</f>
        <v>마르지엘라</v>
      </c>
      <c r="H44" s="45" t="str">
        <f>+요약!U30</f>
        <v>제이알</v>
      </c>
      <c r="I44" s="75" t="str">
        <f>+요약!V30</f>
        <v>오스틴 리</v>
      </c>
      <c r="J44" s="75" t="str">
        <f>+요약!W30</f>
        <v>윤협</v>
      </c>
    </row>
    <row r="45" spans="1:10" s="55" customFormat="1" ht="21" customHeight="1" x14ac:dyDescent="0.25">
      <c r="A45" s="169" t="s">
        <v>76</v>
      </c>
      <c r="B45" s="148">
        <f>+요약!O33</f>
        <v>32</v>
      </c>
      <c r="C45" s="149">
        <f>+요약!P33</f>
        <v>31</v>
      </c>
      <c r="D45" s="149">
        <f>+요약!Q33</f>
        <v>32</v>
      </c>
      <c r="E45" s="149">
        <f>+요약!R33</f>
        <v>33</v>
      </c>
      <c r="F45" s="149">
        <f>+요약!S33</f>
        <v>31</v>
      </c>
      <c r="G45" s="149">
        <f>+요약!T33</f>
        <v>31</v>
      </c>
      <c r="H45" s="149">
        <f>+요약!U33</f>
        <v>33</v>
      </c>
      <c r="I45" s="149">
        <f>+요약!V33</f>
        <v>33</v>
      </c>
      <c r="J45" s="150">
        <f>+요약!W33</f>
        <v>31</v>
      </c>
    </row>
    <row r="46" spans="1:10" s="55" customFormat="1" ht="21" customHeight="1" x14ac:dyDescent="0.25">
      <c r="A46" s="158" t="s">
        <v>81</v>
      </c>
      <c r="B46" s="143">
        <f>+요약!O35</f>
        <v>21452</v>
      </c>
      <c r="C46" s="144">
        <f>+요약!P35</f>
        <v>2907</v>
      </c>
      <c r="D46" s="144">
        <f>+요약!Q35</f>
        <v>2934</v>
      </c>
      <c r="E46" s="144">
        <f>+요약!R35</f>
        <v>6633</v>
      </c>
      <c r="F46" s="144">
        <f>+요약!S35</f>
        <v>6240</v>
      </c>
      <c r="G46" s="144">
        <f>+요약!T35</f>
        <v>14138</v>
      </c>
      <c r="H46" s="144">
        <f>+요약!U35</f>
        <v>3441</v>
      </c>
      <c r="I46" s="144">
        <f>+요약!V35</f>
        <v>5165</v>
      </c>
      <c r="J46" s="145">
        <f>+요약!W35</f>
        <v>4427</v>
      </c>
    </row>
    <row r="47" spans="1:10" s="55" customFormat="1" ht="21" customHeight="1" x14ac:dyDescent="0.25">
      <c r="A47" s="158" t="s">
        <v>86</v>
      </c>
      <c r="B47" s="174">
        <f>+RANK(B46,$B$46:$J$46)</f>
        <v>1</v>
      </c>
      <c r="C47" s="175">
        <f t="shared" ref="C47:J47" si="9">+RANK(C46,$B$46:$J$46)</f>
        <v>9</v>
      </c>
      <c r="D47" s="175">
        <f t="shared" si="9"/>
        <v>8</v>
      </c>
      <c r="E47" s="175">
        <f t="shared" si="9"/>
        <v>3</v>
      </c>
      <c r="F47" s="175">
        <f t="shared" si="9"/>
        <v>4</v>
      </c>
      <c r="G47" s="175">
        <f t="shared" si="9"/>
        <v>2</v>
      </c>
      <c r="H47" s="175">
        <f t="shared" si="9"/>
        <v>7</v>
      </c>
      <c r="I47" s="175">
        <f t="shared" si="9"/>
        <v>5</v>
      </c>
      <c r="J47" s="190">
        <f t="shared" si="9"/>
        <v>6</v>
      </c>
    </row>
    <row r="48" spans="1:10" s="55" customFormat="1" ht="21" customHeight="1" x14ac:dyDescent="0.25">
      <c r="A48" s="158" t="s">
        <v>82</v>
      </c>
      <c r="B48" s="143">
        <f>+B46/B45</f>
        <v>670.375</v>
      </c>
      <c r="C48" s="144">
        <f t="shared" ref="C48:J48" si="10">+C46/C45</f>
        <v>93.774193548387103</v>
      </c>
      <c r="D48" s="144">
        <f t="shared" si="10"/>
        <v>91.6875</v>
      </c>
      <c r="E48" s="144">
        <f t="shared" si="10"/>
        <v>201</v>
      </c>
      <c r="F48" s="144">
        <f t="shared" si="10"/>
        <v>201.29032258064515</v>
      </c>
      <c r="G48" s="144">
        <f t="shared" si="10"/>
        <v>456.06451612903226</v>
      </c>
      <c r="H48" s="144">
        <f t="shared" si="10"/>
        <v>104.27272727272727</v>
      </c>
      <c r="I48" s="144">
        <f t="shared" si="10"/>
        <v>156.5151515151515</v>
      </c>
      <c r="J48" s="145">
        <f t="shared" si="10"/>
        <v>142.80645161290323</v>
      </c>
    </row>
    <row r="49" spans="1:10" s="55" customFormat="1" ht="21" customHeight="1" x14ac:dyDescent="0.25">
      <c r="A49" s="158" t="s">
        <v>83</v>
      </c>
      <c r="B49" s="165">
        <f t="shared" ref="B49:I49" si="11">+$J$48-B48</f>
        <v>-527.56854838709683</v>
      </c>
      <c r="C49" s="166">
        <f t="shared" si="11"/>
        <v>49.032258064516128</v>
      </c>
      <c r="D49" s="166">
        <f t="shared" si="11"/>
        <v>51.118951612903231</v>
      </c>
      <c r="E49" s="166">
        <f t="shared" si="11"/>
        <v>-58.193548387096769</v>
      </c>
      <c r="F49" s="166">
        <f t="shared" si="11"/>
        <v>-58.483870967741922</v>
      </c>
      <c r="G49" s="166">
        <f t="shared" si="11"/>
        <v>-313.25806451612902</v>
      </c>
      <c r="H49" s="166">
        <f t="shared" si="11"/>
        <v>38.533724340175965</v>
      </c>
      <c r="I49" s="166">
        <f t="shared" si="11"/>
        <v>-13.70869990224827</v>
      </c>
      <c r="J49" s="146"/>
    </row>
    <row r="50" spans="1:10" s="55" customFormat="1" ht="21" customHeight="1" x14ac:dyDescent="0.25">
      <c r="A50" s="169" t="s">
        <v>77</v>
      </c>
      <c r="B50" s="148">
        <f>+요약!O34</f>
        <v>13</v>
      </c>
      <c r="C50" s="149">
        <f>+요약!P34</f>
        <v>14</v>
      </c>
      <c r="D50" s="149">
        <f>+요약!Q34</f>
        <v>13</v>
      </c>
      <c r="E50" s="149">
        <f>+요약!R34</f>
        <v>12</v>
      </c>
      <c r="F50" s="149">
        <f>+요약!S34</f>
        <v>14</v>
      </c>
      <c r="G50" s="149">
        <f>+요약!T34</f>
        <v>14</v>
      </c>
      <c r="H50" s="149">
        <f>+요약!U34</f>
        <v>12</v>
      </c>
      <c r="I50" s="149">
        <f>+요약!V34</f>
        <v>12</v>
      </c>
      <c r="J50" s="150">
        <f>+요약!W34</f>
        <v>14</v>
      </c>
    </row>
    <row r="51" spans="1:10" s="55" customFormat="1" ht="21" customHeight="1" x14ac:dyDescent="0.25">
      <c r="A51" s="158" t="s">
        <v>81</v>
      </c>
      <c r="B51" s="143">
        <f>+요약!O36</f>
        <v>19249</v>
      </c>
      <c r="C51" s="144">
        <f>+요약!P36</f>
        <v>3414</v>
      </c>
      <c r="D51" s="144">
        <f>+요약!Q36</f>
        <v>4190</v>
      </c>
      <c r="E51" s="144">
        <f>+요약!R36</f>
        <v>6743</v>
      </c>
      <c r="F51" s="144">
        <f>+요약!S36</f>
        <v>5612</v>
      </c>
      <c r="G51" s="144">
        <f>+요약!T36</f>
        <v>11489</v>
      </c>
      <c r="H51" s="144">
        <f>+요약!U36</f>
        <v>2316</v>
      </c>
      <c r="I51" s="144">
        <f>+요약!V36</f>
        <v>4851</v>
      </c>
      <c r="J51" s="145">
        <f>+요약!W36</f>
        <v>4949</v>
      </c>
    </row>
    <row r="52" spans="1:10" s="55" customFormat="1" ht="21" customHeight="1" x14ac:dyDescent="0.25">
      <c r="A52" s="158" t="s">
        <v>86</v>
      </c>
      <c r="B52" s="174">
        <f>+RANK(B51,$B$51:$J$51)</f>
        <v>1</v>
      </c>
      <c r="C52" s="175">
        <f t="shared" ref="C52:J52" si="12">+RANK(C51,$B$51:$J$51)</f>
        <v>8</v>
      </c>
      <c r="D52" s="175">
        <f t="shared" si="12"/>
        <v>7</v>
      </c>
      <c r="E52" s="175">
        <f t="shared" si="12"/>
        <v>3</v>
      </c>
      <c r="F52" s="175">
        <f t="shared" si="12"/>
        <v>4</v>
      </c>
      <c r="G52" s="175">
        <f t="shared" si="12"/>
        <v>2</v>
      </c>
      <c r="H52" s="175">
        <f t="shared" si="12"/>
        <v>9</v>
      </c>
      <c r="I52" s="175">
        <f t="shared" si="12"/>
        <v>6</v>
      </c>
      <c r="J52" s="190">
        <f t="shared" si="12"/>
        <v>5</v>
      </c>
    </row>
    <row r="53" spans="1:10" ht="21" customHeight="1" x14ac:dyDescent="0.25">
      <c r="A53" s="158" t="s">
        <v>82</v>
      </c>
      <c r="B53" s="143">
        <f>+B51/B50</f>
        <v>1480.6923076923076</v>
      </c>
      <c r="C53" s="144">
        <f t="shared" ref="C53" si="13">+C51/C50</f>
        <v>243.85714285714286</v>
      </c>
      <c r="D53" s="144">
        <f t="shared" ref="D53" si="14">+D51/D50</f>
        <v>322.30769230769232</v>
      </c>
      <c r="E53" s="144">
        <f t="shared" ref="E53" si="15">+E51/E50</f>
        <v>561.91666666666663</v>
      </c>
      <c r="F53" s="144">
        <f t="shared" ref="F53" si="16">+F51/F50</f>
        <v>400.85714285714283</v>
      </c>
      <c r="G53" s="144">
        <f t="shared" ref="G53" si="17">+G51/G50</f>
        <v>820.64285714285711</v>
      </c>
      <c r="H53" s="144">
        <f t="shared" ref="H53" si="18">+H51/H50</f>
        <v>193</v>
      </c>
      <c r="I53" s="144">
        <f t="shared" ref="I53" si="19">+I51/I50</f>
        <v>404.25</v>
      </c>
      <c r="J53" s="145">
        <f t="shared" ref="J53" si="20">+J51/J50</f>
        <v>353.5</v>
      </c>
    </row>
    <row r="54" spans="1:10" s="55" customFormat="1" ht="21" customHeight="1" x14ac:dyDescent="0.25">
      <c r="A54" s="158" t="s">
        <v>83</v>
      </c>
      <c r="B54" s="167">
        <f t="shared" ref="B54:I54" si="21">+$J$53-B53</f>
        <v>-1127.1923076923076</v>
      </c>
      <c r="C54" s="168">
        <f t="shared" si="21"/>
        <v>109.64285714285714</v>
      </c>
      <c r="D54" s="168">
        <f t="shared" si="21"/>
        <v>31.192307692307679</v>
      </c>
      <c r="E54" s="168">
        <f t="shared" si="21"/>
        <v>-208.41666666666663</v>
      </c>
      <c r="F54" s="168">
        <f t="shared" si="21"/>
        <v>-47.357142857142833</v>
      </c>
      <c r="G54" s="168">
        <f t="shared" si="21"/>
        <v>-467.14285714285711</v>
      </c>
      <c r="H54" s="168">
        <f t="shared" si="21"/>
        <v>160.5</v>
      </c>
      <c r="I54" s="168">
        <f t="shared" si="21"/>
        <v>-50.75</v>
      </c>
      <c r="J54" s="157"/>
    </row>
    <row r="55" spans="1:10" s="55" customFormat="1" ht="21" customHeight="1" x14ac:dyDescent="0.25">
      <c r="A55" s="158" t="s">
        <v>88</v>
      </c>
      <c r="B55" s="148">
        <f>+B45+B50</f>
        <v>45</v>
      </c>
      <c r="C55" s="149">
        <f t="shared" ref="C55:I55" si="22">+C45+C50</f>
        <v>45</v>
      </c>
      <c r="D55" s="149">
        <f t="shared" si="22"/>
        <v>45</v>
      </c>
      <c r="E55" s="149">
        <f t="shared" si="22"/>
        <v>45</v>
      </c>
      <c r="F55" s="149">
        <f t="shared" si="22"/>
        <v>45</v>
      </c>
      <c r="G55" s="149">
        <f t="shared" si="22"/>
        <v>45</v>
      </c>
      <c r="H55" s="149">
        <f t="shared" si="22"/>
        <v>45</v>
      </c>
      <c r="I55" s="149">
        <f t="shared" si="22"/>
        <v>45</v>
      </c>
      <c r="J55" s="150">
        <f t="shared" ref="J55" si="23">+J45+J50</f>
        <v>45</v>
      </c>
    </row>
    <row r="56" spans="1:10" s="55" customFormat="1" ht="21" customHeight="1" x14ac:dyDescent="0.25">
      <c r="A56" s="158" t="s">
        <v>81</v>
      </c>
      <c r="B56" s="143">
        <f>+B46+B51</f>
        <v>40701</v>
      </c>
      <c r="C56" s="144">
        <f t="shared" ref="C56:J56" si="24">+C46+C51</f>
        <v>6321</v>
      </c>
      <c r="D56" s="144">
        <f t="shared" si="24"/>
        <v>7124</v>
      </c>
      <c r="E56" s="144">
        <f t="shared" si="24"/>
        <v>13376</v>
      </c>
      <c r="F56" s="144">
        <f t="shared" si="24"/>
        <v>11852</v>
      </c>
      <c r="G56" s="144">
        <f t="shared" si="24"/>
        <v>25627</v>
      </c>
      <c r="H56" s="144">
        <f t="shared" si="24"/>
        <v>5757</v>
      </c>
      <c r="I56" s="144">
        <f t="shared" si="24"/>
        <v>10016</v>
      </c>
      <c r="J56" s="145">
        <f t="shared" si="24"/>
        <v>9376</v>
      </c>
    </row>
    <row r="57" spans="1:10" s="55" customFormat="1" ht="21" customHeight="1" x14ac:dyDescent="0.25">
      <c r="A57" s="158" t="s">
        <v>86</v>
      </c>
      <c r="B57" s="174">
        <f>+RANK(B56,$B$56:$J$56)</f>
        <v>1</v>
      </c>
      <c r="C57" s="175">
        <f t="shared" ref="C57:J57" si="25">+RANK(C56,$B$56:$J$56)</f>
        <v>8</v>
      </c>
      <c r="D57" s="175">
        <f t="shared" si="25"/>
        <v>7</v>
      </c>
      <c r="E57" s="175">
        <f t="shared" si="25"/>
        <v>3</v>
      </c>
      <c r="F57" s="175">
        <f t="shared" si="25"/>
        <v>4</v>
      </c>
      <c r="G57" s="175">
        <f t="shared" si="25"/>
        <v>2</v>
      </c>
      <c r="H57" s="175">
        <f t="shared" si="25"/>
        <v>9</v>
      </c>
      <c r="I57" s="175">
        <f t="shared" si="25"/>
        <v>5</v>
      </c>
      <c r="J57" s="190">
        <f t="shared" si="25"/>
        <v>6</v>
      </c>
    </row>
    <row r="58" spans="1:10" ht="21" customHeight="1" x14ac:dyDescent="0.25">
      <c r="A58" s="158" t="s">
        <v>82</v>
      </c>
      <c r="B58" s="143">
        <f t="shared" ref="B58:J58" si="26">+B56/B55</f>
        <v>904.4666666666667</v>
      </c>
      <c r="C58" s="144">
        <f t="shared" si="26"/>
        <v>140.46666666666667</v>
      </c>
      <c r="D58" s="144">
        <f t="shared" si="26"/>
        <v>158.3111111111111</v>
      </c>
      <c r="E58" s="144">
        <f t="shared" si="26"/>
        <v>297.24444444444447</v>
      </c>
      <c r="F58" s="144">
        <f t="shared" si="26"/>
        <v>263.37777777777779</v>
      </c>
      <c r="G58" s="144">
        <f t="shared" si="26"/>
        <v>569.48888888888894</v>
      </c>
      <c r="H58" s="144">
        <f t="shared" si="26"/>
        <v>127.93333333333334</v>
      </c>
      <c r="I58" s="144">
        <f t="shared" si="26"/>
        <v>222.57777777777778</v>
      </c>
      <c r="J58" s="145">
        <f t="shared" si="26"/>
        <v>208.35555555555555</v>
      </c>
    </row>
    <row r="59" spans="1:10" s="55" customFormat="1" ht="21" customHeight="1" x14ac:dyDescent="0.25">
      <c r="A59" s="158" t="s">
        <v>83</v>
      </c>
      <c r="B59" s="167">
        <f>+$J$58-B58</f>
        <v>-696.11111111111109</v>
      </c>
      <c r="C59" s="168">
        <f t="shared" ref="C59:I59" si="27">+$J$58-C58</f>
        <v>67.888888888888886</v>
      </c>
      <c r="D59" s="168">
        <f t="shared" si="27"/>
        <v>50.044444444444451</v>
      </c>
      <c r="E59" s="168">
        <f t="shared" si="27"/>
        <v>-88.888888888888914</v>
      </c>
      <c r="F59" s="168">
        <f t="shared" si="27"/>
        <v>-55.02222222222224</v>
      </c>
      <c r="G59" s="168">
        <f t="shared" si="27"/>
        <v>-361.13333333333338</v>
      </c>
      <c r="H59" s="168">
        <f t="shared" si="27"/>
        <v>80.422222222222217</v>
      </c>
      <c r="I59" s="168">
        <f t="shared" si="27"/>
        <v>-14.222222222222229</v>
      </c>
      <c r="J59" s="173"/>
    </row>
    <row r="60" spans="1:10" s="55" customFormat="1" ht="15" customHeight="1" x14ac:dyDescent="0.25">
      <c r="A60" s="129"/>
      <c r="B60" s="153"/>
      <c r="C60" s="153"/>
      <c r="D60" s="153"/>
      <c r="E60" s="153"/>
      <c r="F60" s="153"/>
      <c r="G60" s="153"/>
      <c r="H60" s="153"/>
      <c r="I60" s="153"/>
      <c r="J60" s="154"/>
    </row>
    <row r="61" spans="1:10" ht="24" customHeight="1" x14ac:dyDescent="0.25">
      <c r="A61" s="147" t="s">
        <v>45</v>
      </c>
      <c r="C61" s="74"/>
      <c r="D61" s="74" t="s">
        <v>46</v>
      </c>
      <c r="E61" s="74" t="s">
        <v>46</v>
      </c>
      <c r="F61" s="74"/>
      <c r="G61" s="74"/>
      <c r="H61" s="74"/>
      <c r="I61" s="74"/>
      <c r="J61" s="74"/>
    </row>
    <row r="62" spans="1:10" ht="22.5" customHeight="1" x14ac:dyDescent="0.25">
      <c r="B62" s="57" t="s">
        <v>19</v>
      </c>
      <c r="C62" s="45" t="str">
        <f>+요약!D6</f>
        <v>바스키아</v>
      </c>
      <c r="D62" s="45" t="str">
        <f>+요약!E6</f>
        <v>김정기</v>
      </c>
      <c r="E62" s="45" t="str">
        <f>+요약!F6</f>
        <v>드리머</v>
      </c>
      <c r="F62" s="45" t="str">
        <f>+요약!G6</f>
        <v>알렉스</v>
      </c>
      <c r="G62" s="45" t="str">
        <f>+요약!H6</f>
        <v>페어리</v>
      </c>
      <c r="H62" s="45" t="str">
        <f>+요약!I6</f>
        <v>마르지엘라</v>
      </c>
      <c r="I62" s="45" t="str">
        <f>+요약!J6</f>
        <v>제이알</v>
      </c>
      <c r="J62" s="75" t="str">
        <f>+요약!K6</f>
        <v>오스틴 리</v>
      </c>
    </row>
    <row r="63" spans="1:10" ht="22.5" customHeight="1" x14ac:dyDescent="0.25">
      <c r="B63" s="58" t="s">
        <v>6</v>
      </c>
      <c r="C63" s="82">
        <f>+요약!D7</f>
        <v>44112</v>
      </c>
      <c r="D63" s="82">
        <f>+요약!E7</f>
        <v>44302</v>
      </c>
      <c r="E63" s="82">
        <f>+요약!F7</f>
        <v>44469</v>
      </c>
      <c r="F63" s="82">
        <f>+요약!G7</f>
        <v>44620</v>
      </c>
      <c r="G63" s="82">
        <f>+요약!H7</f>
        <v>44771</v>
      </c>
      <c r="H63" s="82">
        <f>+요약!I7</f>
        <v>44919</v>
      </c>
      <c r="I63" s="82">
        <f>+요약!J7</f>
        <v>45049</v>
      </c>
      <c r="J63" s="83">
        <f>+요약!K7</f>
        <v>45195</v>
      </c>
    </row>
    <row r="64" spans="1:10" ht="22.5" customHeight="1" x14ac:dyDescent="0.25">
      <c r="B64" s="63" t="s">
        <v>7</v>
      </c>
      <c r="C64" s="85">
        <f>+요약!D8</f>
        <v>44247</v>
      </c>
      <c r="D64" s="85">
        <f>+요약!E8</f>
        <v>44388</v>
      </c>
      <c r="E64" s="85">
        <f>+요약!F8</f>
        <v>44570</v>
      </c>
      <c r="F64" s="85">
        <f>+요약!G8</f>
        <v>44718</v>
      </c>
      <c r="G64" s="85">
        <f>+요약!H8</f>
        <v>44871</v>
      </c>
      <c r="H64" s="85">
        <f>+요약!I8</f>
        <v>45011</v>
      </c>
      <c r="I64" s="85">
        <f>+요약!J8</f>
        <v>45144</v>
      </c>
      <c r="J64" s="86">
        <f>+요약!K8</f>
        <v>45291</v>
      </c>
    </row>
    <row r="65" spans="1:10" ht="22.5" customHeight="1" x14ac:dyDescent="0.25">
      <c r="B65" s="63" t="s">
        <v>9</v>
      </c>
      <c r="C65" s="87">
        <f>+C64-C63+1</f>
        <v>136</v>
      </c>
      <c r="D65" s="87">
        <f t="shared" ref="D65:J65" si="28">+D64-D63+1</f>
        <v>87</v>
      </c>
      <c r="E65" s="87">
        <f t="shared" si="28"/>
        <v>102</v>
      </c>
      <c r="F65" s="87">
        <f t="shared" si="28"/>
        <v>99</v>
      </c>
      <c r="G65" s="87">
        <f t="shared" si="28"/>
        <v>101</v>
      </c>
      <c r="H65" s="87">
        <f t="shared" si="28"/>
        <v>93</v>
      </c>
      <c r="I65" s="87">
        <f t="shared" si="28"/>
        <v>96</v>
      </c>
      <c r="J65" s="88">
        <f t="shared" si="28"/>
        <v>97</v>
      </c>
    </row>
    <row r="66" spans="1:10" ht="22.5" customHeight="1" x14ac:dyDescent="0.25">
      <c r="B66" s="63" t="s">
        <v>67</v>
      </c>
      <c r="C66" s="44">
        <f>+요약!D10</f>
        <v>99192</v>
      </c>
      <c r="D66" s="44">
        <f>+요약!E10</f>
        <v>15133</v>
      </c>
      <c r="E66" s="44">
        <f>+요약!F10</f>
        <v>24625</v>
      </c>
      <c r="F66" s="44">
        <f>+요약!G10</f>
        <v>29857</v>
      </c>
      <c r="G66" s="44">
        <f>+요약!H10</f>
        <v>25192</v>
      </c>
      <c r="H66" s="44">
        <f>+요약!I10</f>
        <v>42545</v>
      </c>
      <c r="I66" s="44">
        <f>+요약!J10</f>
        <v>17942</v>
      </c>
      <c r="J66" s="64">
        <f>+요약!K10</f>
        <v>28602</v>
      </c>
    </row>
    <row r="67" spans="1:10" ht="22.5" customHeight="1" x14ac:dyDescent="0.25">
      <c r="B67" s="60" t="s">
        <v>66</v>
      </c>
      <c r="C67" s="48">
        <f>+C66/C65</f>
        <v>729.35294117647061</v>
      </c>
      <c r="D67" s="48">
        <f t="shared" ref="D67:J67" si="29">+D66/D65</f>
        <v>173.94252873563218</v>
      </c>
      <c r="E67" s="48">
        <f t="shared" si="29"/>
        <v>241.42156862745097</v>
      </c>
      <c r="F67" s="48">
        <f t="shared" si="29"/>
        <v>301.5858585858586</v>
      </c>
      <c r="G67" s="48">
        <f t="shared" si="29"/>
        <v>249.42574257425741</v>
      </c>
      <c r="H67" s="48">
        <f t="shared" si="29"/>
        <v>457.47311827956992</v>
      </c>
      <c r="I67" s="48">
        <f t="shared" si="29"/>
        <v>186.89583333333334</v>
      </c>
      <c r="J67" s="84">
        <f t="shared" si="29"/>
        <v>294.86597938144331</v>
      </c>
    </row>
    <row r="68" spans="1:10" s="55" customFormat="1" ht="15.75" customHeight="1" x14ac:dyDescent="0.25">
      <c r="A68" s="55" t="s">
        <v>89</v>
      </c>
      <c r="B68" s="96"/>
      <c r="C68" s="141"/>
      <c r="D68" s="141"/>
      <c r="E68" s="141"/>
      <c r="F68" s="141"/>
      <c r="G68" s="141"/>
      <c r="H68" s="141"/>
      <c r="I68" s="141"/>
      <c r="J68" s="141"/>
    </row>
    <row r="69" spans="1:10" ht="29.25" customHeight="1" x14ac:dyDescent="0.25">
      <c r="A69" s="911">
        <f>+$F$7</f>
        <v>45</v>
      </c>
      <c r="B69" s="911"/>
      <c r="C69" s="911"/>
      <c r="D69" s="911"/>
      <c r="E69" s="911"/>
      <c r="F69" s="911"/>
      <c r="G69" s="911"/>
      <c r="H69" s="911"/>
      <c r="I69" s="911"/>
    </row>
    <row r="89" spans="1:9" ht="29.25" customHeight="1" x14ac:dyDescent="0.25">
      <c r="A89" s="912">
        <f>+$F$7</f>
        <v>45</v>
      </c>
      <c r="B89" s="912"/>
      <c r="C89" s="912"/>
      <c r="D89" s="912"/>
      <c r="E89" s="912"/>
      <c r="F89" s="912"/>
      <c r="G89" s="912"/>
      <c r="H89" s="912"/>
      <c r="I89" s="912"/>
    </row>
  </sheetData>
  <mergeCells count="11">
    <mergeCell ref="A69:I69"/>
    <mergeCell ref="A89:I89"/>
    <mergeCell ref="A43:I43"/>
    <mergeCell ref="B16:B17"/>
    <mergeCell ref="C16:C17"/>
    <mergeCell ref="D16:D17"/>
    <mergeCell ref="J16:J17"/>
    <mergeCell ref="J18:J22"/>
    <mergeCell ref="I16:I17"/>
    <mergeCell ref="G16:G17"/>
    <mergeCell ref="E16:E17"/>
  </mergeCells>
  <phoneticPr fontId="2" type="noConversion"/>
  <conditionalFormatting sqref="C28:I28">
    <cfRule type="aboveAverage" dxfId="47" priority="16"/>
  </conditionalFormatting>
  <conditionalFormatting sqref="C29:I29">
    <cfRule type="aboveAverage" dxfId="46" priority="15"/>
  </conditionalFormatting>
  <conditionalFormatting sqref="C30:I30">
    <cfRule type="aboveAverage" dxfId="45" priority="7"/>
  </conditionalFormatting>
  <conditionalFormatting sqref="C31:I31">
    <cfRule type="aboveAverage" dxfId="44" priority="6"/>
  </conditionalFormatting>
  <conditionalFormatting sqref="C32:I32">
    <cfRule type="aboveAverage" dxfId="43" priority="5"/>
  </conditionalFormatting>
  <conditionalFormatting sqref="C33:I33">
    <cfRule type="aboveAverage" dxfId="42" priority="4"/>
  </conditionalFormatting>
  <conditionalFormatting sqref="C34:I34">
    <cfRule type="aboveAverage" dxfId="41" priority="3"/>
  </conditionalFormatting>
  <conditionalFormatting sqref="C35:I35">
    <cfRule type="aboveAverage" dxfId="40" priority="2"/>
  </conditionalFormatting>
  <conditionalFormatting sqref="C36:I36">
    <cfRule type="aboveAverage" dxfId="39" priority="1"/>
  </conditionalFormatting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64" fitToHeight="2" orientation="portrait" r:id="rId1"/>
  <colBreaks count="1" manualBreakCount="1">
    <brk id="9" max="1048575" man="1"/>
  </colBreaks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8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249977111117893"/>
          <x14:colorLow rgb="FFC00000"/>
          <x14:sparklines>
            <x14:sparkline>
              <xm:f>일자별요약!C28:I28</xm:f>
              <xm:sqref>J28</xm:sqref>
            </x14:sparkline>
            <x14:sparkline>
              <xm:f>일자별요약!C29:I29</xm:f>
              <xm:sqref>J29</xm:sqref>
            </x14:sparkline>
            <x14:sparkline>
              <xm:f>일자별요약!C30:I30</xm:f>
              <xm:sqref>J30</xm:sqref>
            </x14:sparkline>
            <x14:sparkline>
              <xm:f>일자별요약!C31:I31</xm:f>
              <xm:sqref>J31</xm:sqref>
            </x14:sparkline>
            <x14:sparkline>
              <xm:f>일자별요약!C32:I32</xm:f>
              <xm:sqref>J32</xm:sqref>
            </x14:sparkline>
            <x14:sparkline>
              <xm:f>일자별요약!C33:I33</xm:f>
              <xm:sqref>J33</xm:sqref>
            </x14:sparkline>
            <x14:sparkline>
              <xm:f>일자별요약!C34:I34</xm:f>
              <xm:sqref>J34</xm:sqref>
            </x14:sparkline>
            <x14:sparkline>
              <xm:f>일자별요약!C35:I35</xm:f>
              <xm:sqref>J35</xm:sqref>
            </x14:sparkline>
            <x14:sparkline>
              <xm:f>일자별요약!C36:I36</xm:f>
              <xm:sqref>J36</xm:sqref>
            </x14:sparkline>
            <x14:sparkline>
              <xm:f>일자별요약!C37:I37</xm:f>
              <xm:sqref>J37</xm:sqref>
            </x14:sparkline>
            <x14:sparkline>
              <xm:f>일자별요약!C39:I39</xm:f>
              <xm:sqref>J39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6:N45"/>
  <sheetViews>
    <sheetView showGridLines="0" workbookViewId="0">
      <selection activeCell="G37" sqref="G37"/>
    </sheetView>
  </sheetViews>
  <sheetFormatPr defaultRowHeight="12.75" x14ac:dyDescent="0.25"/>
  <sheetData>
    <row r="6" spans="1:14" x14ac:dyDescent="0.25">
      <c r="B6" t="s">
        <v>143</v>
      </c>
      <c r="I6" t="s">
        <v>144</v>
      </c>
      <c r="L6" t="s">
        <v>15</v>
      </c>
    </row>
    <row r="7" spans="1:14" x14ac:dyDescent="0.25">
      <c r="B7" t="s">
        <v>3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145</v>
      </c>
      <c r="I7" t="s">
        <v>5</v>
      </c>
      <c r="J7" t="s">
        <v>4</v>
      </c>
      <c r="K7" t="s">
        <v>145</v>
      </c>
      <c r="M7" t="s">
        <v>149</v>
      </c>
      <c r="N7" t="s">
        <v>150</v>
      </c>
    </row>
    <row r="8" spans="1:14" x14ac:dyDescent="0.25">
      <c r="A8" s="384">
        <v>1</v>
      </c>
      <c r="B8">
        <f>+SUMPRODUCT((요약!$O$7:$W$26)*(요약!$N$7:$N$26=$A8)*(요약!$O$6:$W$6=B$7))</f>
        <v>7509</v>
      </c>
      <c r="C8">
        <f>+SUMPRODUCT((요약!$O$7:$W$26)*(요약!$N$7:$N$26=$A8)*(요약!$O$6:$W$6=C$7))</f>
        <v>1920</v>
      </c>
      <c r="D8">
        <f>+SUMPRODUCT((요약!$O$7:$W$26)*(요약!$N$7:$N$26=$A8)*(요약!$O$6:$W$6=D$7))</f>
        <v>2090</v>
      </c>
      <c r="E8">
        <f>+SUMPRODUCT((요약!$O$7:$W$26)*(요약!$N$7:$N$26=$A8)*(요약!$O$6:$W$6=E$7))</f>
        <v>5785</v>
      </c>
      <c r="F8">
        <f>+SUMPRODUCT((요약!$O$7:$W$26)*(요약!$N$7:$N$26=$A8)*(요약!$O$6:$W$6=F$7))</f>
        <v>990</v>
      </c>
      <c r="G8">
        <f>+SUMPRODUCT((요약!$O$7:$W$26)*(요약!$N$7:$N$26=$A8)*(요약!$O$6:$W$6=G$7))</f>
        <v>1797</v>
      </c>
      <c r="H8">
        <f>+SUMPRODUCT((요약!$O$7:$W$26)*(요약!$N$7:$N$26=$A8)*(요약!$O$6:$W$6=H$7))</f>
        <v>0</v>
      </c>
      <c r="I8">
        <f>+SUMPRODUCT((요약!$O$7:$W$26)*(요약!$N$7:$N$26=$A8)*(요약!$O$6:$W$6=I$7))</f>
        <v>845</v>
      </c>
      <c r="J8">
        <f>+SUMPRODUCT((요약!$O$7:$W$26)*(요약!$N$7:$N$26=$A8)*(요약!$O$6:$W$6=J$7))</f>
        <v>810</v>
      </c>
      <c r="K8">
        <f>+SUMPRODUCT((요약!$O$7:$W$26)*(요약!$N$7:$N$26=$A8)*(요약!$O$6:$W$6=K$7))</f>
        <v>0</v>
      </c>
      <c r="L8">
        <f>+SUMPRODUCT((요약!$O$7:$W$26)*(요약!$N$7:$N$26=$A8)*(요약!$O$6:$W$6=L$7))</f>
        <v>0</v>
      </c>
    </row>
    <row r="9" spans="1:14" x14ac:dyDescent="0.25">
      <c r="A9" s="25">
        <f>+A8+1</f>
        <v>2</v>
      </c>
      <c r="B9" s="23">
        <f>+SUMPRODUCT((요약!$O$7:$W$26)*(요약!$N$7:$N$26=$A9)*(요약!$O$6:$W$6=B$7))</f>
        <v>6055</v>
      </c>
      <c r="C9" s="23">
        <f>+SUMPRODUCT((요약!$O$7:$W$26)*(요약!$N$7:$N$26=$A9)*(요약!$O$6:$W$6=C$7))</f>
        <v>1953</v>
      </c>
      <c r="D9" s="23">
        <f>+SUMPRODUCT((요약!$O$7:$W$26)*(요약!$N$7:$N$26=$A9)*(요약!$O$6:$W$6=D$7))</f>
        <v>1929</v>
      </c>
      <c r="E9" s="23">
        <f>+SUMPRODUCT((요약!$O$7:$W$26)*(요약!$N$7:$N$26=$A9)*(요약!$O$6:$W$6=E$7))</f>
        <v>2559</v>
      </c>
      <c r="F9" s="23">
        <f>+SUMPRODUCT((요약!$O$7:$W$26)*(요약!$N$7:$N$26=$A9)*(요약!$O$6:$W$6=F$7))</f>
        <v>875</v>
      </c>
      <c r="G9" s="23">
        <f>+SUMPRODUCT((요약!$O$7:$W$26)*(요약!$N$7:$N$26=$A9)*(요약!$O$6:$W$6=G$7))</f>
        <v>1912</v>
      </c>
      <c r="H9" s="23">
        <f>+SUMPRODUCT((요약!$O$7:$W$26)*(요약!$N$7:$N$26=$A9)*(요약!$O$6:$W$6=H$7))</f>
        <v>0</v>
      </c>
      <c r="I9" s="23">
        <f>+SUMPRODUCT((요약!$O$7:$W$26)*(요약!$N$7:$N$26=$A9)*(요약!$O$6:$W$6=I$7))</f>
        <v>868</v>
      </c>
      <c r="J9" s="23">
        <f>+SUMPRODUCT((요약!$O$7:$W$26)*(요약!$N$7:$N$26=$A9)*(요약!$O$6:$W$6=J$7))</f>
        <v>1218</v>
      </c>
      <c r="K9" s="23">
        <f>+SUMPRODUCT((요약!$O$7:$W$26)*(요약!$N$7:$N$26=$A9)*(요약!$O$6:$W$6=K$7))</f>
        <v>0</v>
      </c>
      <c r="L9" s="23">
        <f>+SUMPRODUCT((요약!$O$7:$W$26)*(요약!$N$7:$N$26=$A9)*(요약!$O$6:$W$6=L$7))</f>
        <v>0</v>
      </c>
    </row>
    <row r="10" spans="1:14" x14ac:dyDescent="0.25">
      <c r="A10" s="25">
        <f>+A9+1</f>
        <v>3</v>
      </c>
      <c r="B10" s="23">
        <f>+SUMPRODUCT((요약!$O$7:$W$26)*(요약!$N$7:$N$26=$A10)*(요약!$O$6:$W$6=B$7))</f>
        <v>5911</v>
      </c>
      <c r="C10" s="23">
        <f>+SUMPRODUCT((요약!$O$7:$W$26)*(요약!$N$7:$N$26=$A10)*(요약!$O$6:$W$6=C$7))</f>
        <v>2011</v>
      </c>
      <c r="D10" s="23">
        <f>+SUMPRODUCT((요약!$O$7:$W$26)*(요약!$N$7:$N$26=$A10)*(요약!$O$6:$W$6=D$7))</f>
        <v>2139</v>
      </c>
      <c r="E10" s="23">
        <f>+SUMPRODUCT((요약!$O$7:$W$26)*(요약!$N$7:$N$26=$A10)*(요약!$O$6:$W$6=E$7))</f>
        <v>4095</v>
      </c>
      <c r="F10" s="23">
        <f>+SUMPRODUCT((요약!$O$7:$W$26)*(요약!$N$7:$N$26=$A10)*(요약!$O$6:$W$6=F$7))</f>
        <v>908</v>
      </c>
      <c r="G10" s="23">
        <f>+SUMPRODUCT((요약!$O$7:$W$26)*(요약!$N$7:$N$26=$A10)*(요약!$O$6:$W$6=G$7))</f>
        <v>1558</v>
      </c>
      <c r="H10" s="23">
        <f>+SUMPRODUCT((요약!$O$7:$W$26)*(요약!$N$7:$N$26=$A10)*(요약!$O$6:$W$6=H$7))</f>
        <v>0</v>
      </c>
      <c r="I10" s="23">
        <f>+SUMPRODUCT((요약!$O$7:$W$26)*(요약!$N$7:$N$26=$A10)*(요약!$O$6:$W$6=I$7))</f>
        <v>1152</v>
      </c>
      <c r="J10" s="23">
        <f>+SUMPRODUCT((요약!$O$7:$W$26)*(요약!$N$7:$N$26=$A10)*(요약!$O$6:$W$6=J$7))</f>
        <v>847</v>
      </c>
      <c r="K10" s="23">
        <f>+SUMPRODUCT((요약!$O$7:$W$26)*(요약!$N$7:$N$26=$A10)*(요약!$O$6:$W$6=K$7))</f>
        <v>0</v>
      </c>
      <c r="L10" s="23">
        <f>+SUMPRODUCT((요약!$O$7:$W$26)*(요약!$N$7:$N$26=$A10)*(요약!$O$6:$W$6=L$7))</f>
        <v>0</v>
      </c>
    </row>
    <row r="11" spans="1:14" x14ac:dyDescent="0.25">
      <c r="A11" s="25">
        <f>+A10+1</f>
        <v>4</v>
      </c>
      <c r="B11" s="23">
        <f>+SUMPRODUCT((요약!$O$7:$W$26)*(요약!$N$7:$N$26=$A11)*(요약!$O$6:$W$6=B$7))</f>
        <v>5843</v>
      </c>
      <c r="C11" s="23">
        <f>+SUMPRODUCT((요약!$O$7:$W$26)*(요약!$N$7:$N$26=$A11)*(요약!$O$6:$W$6=C$7))</f>
        <v>2419</v>
      </c>
      <c r="D11" s="23">
        <f>+SUMPRODUCT((요약!$O$7:$W$26)*(요약!$N$7:$N$26=$A11)*(요약!$O$6:$W$6=D$7))</f>
        <v>1774</v>
      </c>
      <c r="E11" s="23">
        <f>+SUMPRODUCT((요약!$O$7:$W$26)*(요약!$N$7:$N$26=$A11)*(요약!$O$6:$W$6=E$7))</f>
        <v>4261</v>
      </c>
      <c r="F11" s="23">
        <f>+SUMPRODUCT((요약!$O$7:$W$26)*(요약!$N$7:$N$26=$A11)*(요약!$O$6:$W$6=F$7))</f>
        <v>1020</v>
      </c>
      <c r="G11" s="23">
        <f>+SUMPRODUCT((요약!$O$7:$W$26)*(요약!$N$7:$N$26=$A11)*(요약!$O$6:$W$6=G$7))</f>
        <v>1646</v>
      </c>
      <c r="H11" s="23">
        <f>+SUMPRODUCT((요약!$O$7:$W$26)*(요약!$N$7:$N$26=$A11)*(요약!$O$6:$W$6=H$7))</f>
        <v>0</v>
      </c>
      <c r="I11" s="23">
        <f>+SUMPRODUCT((요약!$O$7:$W$26)*(요약!$N$7:$N$26=$A11)*(요약!$O$6:$W$6=I$7))</f>
        <v>840</v>
      </c>
      <c r="J11" s="23">
        <f>+SUMPRODUCT((요약!$O$7:$W$26)*(요약!$N$7:$N$26=$A11)*(요약!$O$6:$W$6=J$7))</f>
        <v>1082</v>
      </c>
      <c r="K11" s="23">
        <f>+SUMPRODUCT((요약!$O$7:$W$26)*(요약!$N$7:$N$26=$A11)*(요약!$O$6:$W$6=K$7))</f>
        <v>0</v>
      </c>
      <c r="L11" s="23">
        <f>+SUMPRODUCT((요약!$O$7:$W$26)*(요약!$N$7:$N$26=$A11)*(요약!$O$6:$W$6=L$7))</f>
        <v>0</v>
      </c>
    </row>
    <row r="12" spans="1:14" x14ac:dyDescent="0.25">
      <c r="A12" s="25">
        <f t="shared" ref="A12:A27" si="0">+A11+1</f>
        <v>5</v>
      </c>
      <c r="B12" s="23">
        <f>+SUMPRODUCT((요약!$O$7:$W$26)*(요약!$N$7:$N$26=$A12)*(요약!$O$6:$W$6=B$7))</f>
        <v>6046</v>
      </c>
      <c r="C12" s="23">
        <f>+SUMPRODUCT((요약!$O$7:$W$26)*(요약!$N$7:$N$26=$A12)*(요약!$O$6:$W$6=C$7))</f>
        <v>2557</v>
      </c>
      <c r="D12" s="23">
        <f>+SUMPRODUCT((요약!$O$7:$W$26)*(요약!$N$7:$N$26=$A12)*(요약!$O$6:$W$6=D$7))</f>
        <v>2377</v>
      </c>
      <c r="E12" s="23">
        <f>+SUMPRODUCT((요약!$O$7:$W$26)*(요약!$N$7:$N$26=$A12)*(요약!$O$6:$W$6=E$7))</f>
        <v>2925</v>
      </c>
      <c r="F12" s="23">
        <f>+SUMPRODUCT((요약!$O$7:$W$26)*(요약!$N$7:$N$26=$A12)*(요약!$O$6:$W$6=F$7))</f>
        <v>881</v>
      </c>
      <c r="G12" s="23">
        <f>+SUMPRODUCT((요약!$O$7:$W$26)*(요약!$N$7:$N$26=$A12)*(요약!$O$6:$W$6=G$7))</f>
        <v>1272</v>
      </c>
      <c r="H12" s="23">
        <f>+SUMPRODUCT((요약!$O$7:$W$26)*(요약!$N$7:$N$26=$A12)*(요약!$O$6:$W$6=H$7))</f>
        <v>0</v>
      </c>
      <c r="I12" s="23">
        <f>+SUMPRODUCT((요약!$O$7:$W$26)*(요약!$N$7:$N$26=$A12)*(요약!$O$6:$W$6=I$7))</f>
        <v>1106</v>
      </c>
      <c r="J12" s="23">
        <f>+SUMPRODUCT((요약!$O$7:$W$26)*(요약!$N$7:$N$26=$A12)*(요약!$O$6:$W$6=J$7))</f>
        <v>1162</v>
      </c>
      <c r="K12" s="23">
        <f>+SUMPRODUCT((요약!$O$7:$W$26)*(요약!$N$7:$N$26=$A12)*(요약!$O$6:$W$6=K$7))</f>
        <v>0</v>
      </c>
      <c r="L12" s="23">
        <f>+SUMPRODUCT((요약!$O$7:$W$26)*(요약!$N$7:$N$26=$A12)*(요약!$O$6:$W$6=L$7))</f>
        <v>0</v>
      </c>
    </row>
    <row r="13" spans="1:14" x14ac:dyDescent="0.25">
      <c r="A13" s="25">
        <f t="shared" si="0"/>
        <v>6</v>
      </c>
      <c r="B13" s="23">
        <f>+SUMPRODUCT((요약!$O$7:$W$26)*(요약!$N$7:$N$26=$A13)*(요약!$O$6:$W$6=B$7))</f>
        <v>6560</v>
      </c>
      <c r="C13" s="23">
        <f>+SUMPRODUCT((요약!$O$7:$W$26)*(요약!$N$7:$N$26=$A13)*(요약!$O$6:$W$6=C$7))</f>
        <v>2035</v>
      </c>
      <c r="D13" s="23">
        <f>+SUMPRODUCT((요약!$O$7:$W$26)*(요약!$N$7:$N$26=$A13)*(요약!$O$6:$W$6=D$7))</f>
        <v>1248</v>
      </c>
      <c r="E13" s="23">
        <f>+SUMPRODUCT((요약!$O$7:$W$26)*(요약!$N$7:$N$26=$A13)*(요약!$O$6:$W$6=E$7))</f>
        <v>4599</v>
      </c>
      <c r="F13" s="23">
        <f>+SUMPRODUCT((요약!$O$7:$W$26)*(요약!$N$7:$N$26=$A13)*(요약!$O$6:$W$6=F$7))</f>
        <v>748</v>
      </c>
      <c r="G13" s="23">
        <f>+SUMPRODUCT((요약!$O$7:$W$26)*(요약!$N$7:$N$26=$A13)*(요약!$O$6:$W$6=G$7))</f>
        <v>1409</v>
      </c>
      <c r="H13" s="23">
        <f>+SUMPRODUCT((요약!$O$7:$W$26)*(요약!$N$7:$N$26=$A13)*(요약!$O$6:$W$6=H$7))</f>
        <v>0</v>
      </c>
      <c r="I13" s="23">
        <f>+SUMPRODUCT((요약!$O$7:$W$26)*(요약!$N$7:$N$26=$A13)*(요약!$O$6:$W$6=I$7))</f>
        <v>1025</v>
      </c>
      <c r="J13" s="23">
        <f>+SUMPRODUCT((요약!$O$7:$W$26)*(요약!$N$7:$N$26=$A13)*(요약!$O$6:$W$6=J$7))</f>
        <v>1230</v>
      </c>
      <c r="K13" s="23">
        <f>+SUMPRODUCT((요약!$O$7:$W$26)*(요약!$N$7:$N$26=$A13)*(요약!$O$6:$W$6=K$7))</f>
        <v>0</v>
      </c>
      <c r="L13" s="23">
        <f>+SUMPRODUCT((요약!$O$7:$W$26)*(요약!$N$7:$N$26=$A13)*(요약!$O$6:$W$6=L$7))</f>
        <v>0</v>
      </c>
    </row>
    <row r="14" spans="1:14" x14ac:dyDescent="0.25">
      <c r="A14" s="25">
        <f t="shared" si="0"/>
        <v>7</v>
      </c>
      <c r="B14" s="23">
        <f>+SUMPRODUCT((요약!$O$7:$W$26)*(요약!$N$7:$N$26=$A14)*(요약!$O$6:$W$6=B$7))</f>
        <v>5148</v>
      </c>
      <c r="C14" s="23">
        <f>+SUMPRODUCT((요약!$O$7:$W$26)*(요약!$N$7:$N$26=$A14)*(요약!$O$6:$W$6=C$7))</f>
        <v>1617</v>
      </c>
      <c r="D14" s="23">
        <f>+SUMPRODUCT((요약!$O$7:$W$26)*(요약!$N$7:$N$26=$A14)*(요약!$O$6:$W$6=D$7))</f>
        <v>976</v>
      </c>
      <c r="E14" s="23">
        <f>+SUMPRODUCT((요약!$O$7:$W$26)*(요약!$N$7:$N$26=$A14)*(요약!$O$6:$W$6=E$7))</f>
        <v>2327</v>
      </c>
      <c r="F14" s="23">
        <f>+SUMPRODUCT((요약!$O$7:$W$26)*(요약!$N$7:$N$26=$A14)*(요약!$O$6:$W$6=F$7))</f>
        <v>829</v>
      </c>
      <c r="G14" s="23">
        <f>+SUMPRODUCT((요약!$O$7:$W$26)*(요약!$N$7:$N$26=$A14)*(요약!$O$6:$W$6=G$7))</f>
        <v>1776</v>
      </c>
      <c r="H14" s="23">
        <f>+SUMPRODUCT((요약!$O$7:$W$26)*(요약!$N$7:$N$26=$A14)*(요약!$O$6:$W$6=H$7))</f>
        <v>0</v>
      </c>
      <c r="I14" s="23">
        <f>+SUMPRODUCT((요약!$O$7:$W$26)*(요약!$N$7:$N$26=$A14)*(요약!$O$6:$W$6=I$7))</f>
        <v>661</v>
      </c>
      <c r="J14" s="23">
        <f>+SUMPRODUCT((요약!$O$7:$W$26)*(요약!$N$7:$N$26=$A14)*(요약!$O$6:$W$6=J$7))</f>
        <v>1498</v>
      </c>
      <c r="K14" s="23">
        <f>+SUMPRODUCT((요약!$O$7:$W$26)*(요약!$N$7:$N$26=$A14)*(요약!$O$6:$W$6=K$7))</f>
        <v>0</v>
      </c>
      <c r="L14" s="23">
        <f>+SUMPRODUCT((요약!$O$7:$W$26)*(요약!$N$7:$N$26=$A14)*(요약!$O$6:$W$6=L$7))</f>
        <v>0</v>
      </c>
    </row>
    <row r="15" spans="1:14" x14ac:dyDescent="0.25">
      <c r="A15" s="25">
        <f t="shared" si="0"/>
        <v>8</v>
      </c>
      <c r="B15" s="23">
        <f>+SUMPRODUCT((요약!$O$7:$W$26)*(요약!$N$7:$N$26=$A15)*(요약!$O$6:$W$6=B$7))</f>
        <v>3005</v>
      </c>
      <c r="C15" s="23">
        <f>+SUMPRODUCT((요약!$O$7:$W$26)*(요약!$N$7:$N$26=$A15)*(요약!$O$6:$W$6=C$7))</f>
        <v>1247</v>
      </c>
      <c r="D15" s="23">
        <f>+SUMPRODUCT((요약!$O$7:$W$26)*(요약!$N$7:$N$26=$A15)*(요약!$O$6:$W$6=D$7))</f>
        <v>1266</v>
      </c>
      <c r="E15" s="23">
        <f>+SUMPRODUCT((요약!$O$7:$W$26)*(요약!$N$7:$N$26=$A15)*(요약!$O$6:$W$6=E$7))</f>
        <v>2548</v>
      </c>
      <c r="F15" s="23">
        <f>+SUMPRODUCT((요약!$O$7:$W$26)*(요약!$N$7:$N$26=$A15)*(요약!$O$6:$W$6=F$7))</f>
        <v>837</v>
      </c>
      <c r="G15" s="23">
        <f>+SUMPRODUCT((요약!$O$7:$W$26)*(요약!$N$7:$N$26=$A15)*(요약!$O$6:$W$6=G$7))</f>
        <v>1840</v>
      </c>
      <c r="H15" s="23">
        <f>+SUMPRODUCT((요약!$O$7:$W$26)*(요약!$N$7:$N$26=$A15)*(요약!$O$6:$W$6=H$7))</f>
        <v>0</v>
      </c>
      <c r="I15" s="23">
        <f>+SUMPRODUCT((요약!$O$7:$W$26)*(요약!$N$7:$N$26=$A15)*(요약!$O$6:$W$6=I$7))</f>
        <v>785</v>
      </c>
      <c r="J15" s="23">
        <f>+SUMPRODUCT((요약!$O$7:$W$26)*(요약!$N$7:$N$26=$A15)*(요약!$O$6:$W$6=J$7))</f>
        <v>2045</v>
      </c>
      <c r="K15" s="23">
        <f>+SUMPRODUCT((요약!$O$7:$W$26)*(요약!$N$7:$N$26=$A15)*(요약!$O$6:$W$6=K$7))</f>
        <v>0</v>
      </c>
      <c r="L15" s="23">
        <f>+SUMPRODUCT((요약!$O$7:$W$26)*(요약!$N$7:$N$26=$A15)*(요약!$O$6:$W$6=L$7))</f>
        <v>0</v>
      </c>
    </row>
    <row r="16" spans="1:14" x14ac:dyDescent="0.25">
      <c r="A16" s="25">
        <f t="shared" si="0"/>
        <v>9</v>
      </c>
      <c r="B16" s="23">
        <f>+SUMPRODUCT((요약!$O$7:$W$26)*(요약!$N$7:$N$26=$A16)*(요약!$O$6:$W$6=B$7))</f>
        <v>2201</v>
      </c>
      <c r="C16" s="23">
        <f>+SUMPRODUCT((요약!$O$7:$W$26)*(요약!$N$7:$N$26=$A16)*(요약!$O$6:$W$6=C$7))</f>
        <v>2015</v>
      </c>
      <c r="D16" s="23">
        <f>+SUMPRODUCT((요약!$O$7:$W$26)*(요약!$N$7:$N$26=$A16)*(요약!$O$6:$W$6=D$7))</f>
        <v>1185</v>
      </c>
      <c r="E16" s="23">
        <f>+SUMPRODUCT((요약!$O$7:$W$26)*(요약!$N$7:$N$26=$A16)*(요약!$O$6:$W$6=E$7))</f>
        <v>2430</v>
      </c>
      <c r="F16" s="23">
        <f>+SUMPRODUCT((요약!$O$7:$W$26)*(요약!$N$7:$N$26=$A16)*(요약!$O$6:$W$6=F$7))</f>
        <v>1167</v>
      </c>
      <c r="G16" s="23">
        <f>+SUMPRODUCT((요약!$O$7:$W$26)*(요약!$N$7:$N$26=$A16)*(요약!$O$6:$W$6=G$7))</f>
        <v>1918</v>
      </c>
      <c r="H16" s="23">
        <f>+SUMPRODUCT((요약!$O$7:$W$26)*(요약!$N$7:$N$26=$A16)*(요약!$O$6:$W$6=H$7))</f>
        <v>0</v>
      </c>
      <c r="I16" s="23">
        <f>+SUMPRODUCT((요약!$O$7:$W$26)*(요약!$N$7:$N$26=$A16)*(요약!$O$6:$W$6=I$7))</f>
        <v>815</v>
      </c>
      <c r="J16" s="23">
        <f>+SUMPRODUCT((요약!$O$7:$W$26)*(요약!$N$7:$N$26=$A16)*(요약!$O$6:$W$6=J$7))</f>
        <v>2005</v>
      </c>
      <c r="K16" s="23">
        <f>+SUMPRODUCT((요약!$O$7:$W$26)*(요약!$N$7:$N$26=$A16)*(요약!$O$6:$W$6=K$7))</f>
        <v>0</v>
      </c>
      <c r="L16" s="23">
        <f>+SUMPRODUCT((요약!$O$7:$W$26)*(요약!$N$7:$N$26=$A16)*(요약!$O$6:$W$6=L$7))</f>
        <v>0</v>
      </c>
    </row>
    <row r="17" spans="1:12" x14ac:dyDescent="0.25">
      <c r="A17" s="25">
        <f t="shared" si="0"/>
        <v>10</v>
      </c>
      <c r="B17" s="23">
        <f>+SUMPRODUCT((요약!$O$7:$W$26)*(요약!$N$7:$N$26=$A17)*(요약!$O$6:$W$6=B$7))</f>
        <v>1566</v>
      </c>
      <c r="C17" s="23">
        <f>+SUMPRODUCT((요약!$O$7:$W$26)*(요약!$N$7:$N$26=$A17)*(요약!$O$6:$W$6=C$7))</f>
        <v>1690</v>
      </c>
      <c r="D17" s="23">
        <f>+SUMPRODUCT((요약!$O$7:$W$26)*(요약!$N$7:$N$26=$A17)*(요약!$O$6:$W$6=D$7))</f>
        <v>1561</v>
      </c>
      <c r="E17" s="23">
        <f>+SUMPRODUCT((요약!$O$7:$W$26)*(요약!$N$7:$N$26=$A17)*(요약!$O$6:$W$6=E$7))</f>
        <v>2379</v>
      </c>
      <c r="F17" s="23">
        <f>+SUMPRODUCT((요약!$O$7:$W$26)*(요약!$N$7:$N$26=$A17)*(요약!$O$6:$W$6=F$7))</f>
        <v>1141</v>
      </c>
      <c r="G17" s="23">
        <f>+SUMPRODUCT((요약!$O$7:$W$26)*(요약!$N$7:$N$26=$A17)*(요약!$O$6:$W$6=G$7))</f>
        <v>1621</v>
      </c>
      <c r="H17" s="23">
        <f>+SUMPRODUCT((요약!$O$7:$W$26)*(요약!$N$7:$N$26=$A17)*(요약!$O$6:$W$6=H$7))</f>
        <v>0</v>
      </c>
      <c r="I17" s="23">
        <f>+SUMPRODUCT((요약!$O$7:$W$26)*(요약!$N$7:$N$26=$A17)*(요약!$O$6:$W$6=I$7))</f>
        <v>1129</v>
      </c>
      <c r="J17" s="23">
        <f>+SUMPRODUCT((요약!$O$7:$W$26)*(요약!$N$7:$N$26=$A17)*(요약!$O$6:$W$6=J$7))</f>
        <v>1412</v>
      </c>
      <c r="K17" s="23">
        <f>+SUMPRODUCT((요약!$O$7:$W$26)*(요약!$N$7:$N$26=$A17)*(요약!$O$6:$W$6=K$7))</f>
        <v>0</v>
      </c>
      <c r="L17" s="23">
        <f>+SUMPRODUCT((요약!$O$7:$W$26)*(요약!$N$7:$N$26=$A17)*(요약!$O$6:$W$6=L$7))</f>
        <v>0</v>
      </c>
    </row>
    <row r="18" spans="1:12" x14ac:dyDescent="0.25">
      <c r="A18" s="25">
        <f t="shared" si="0"/>
        <v>11</v>
      </c>
      <c r="B18" s="23">
        <f>+SUMPRODUCT((요약!$O$7:$W$26)*(요약!$N$7:$N$26=$A18)*(요약!$O$6:$W$6=B$7))</f>
        <v>1467</v>
      </c>
      <c r="C18" s="23">
        <f>+SUMPRODUCT((요약!$O$7:$W$26)*(요약!$N$7:$N$26=$A18)*(요약!$O$6:$W$6=C$7))</f>
        <v>1593</v>
      </c>
      <c r="D18" s="23">
        <f>+SUMPRODUCT((요약!$O$7:$W$26)*(요약!$N$7:$N$26=$A18)*(요약!$O$6:$W$6=D$7))</f>
        <v>1742</v>
      </c>
      <c r="E18" s="23">
        <f>+SUMPRODUCT((요약!$O$7:$W$26)*(요약!$N$7:$N$26=$A18)*(요약!$O$6:$W$6=E$7))</f>
        <v>1625</v>
      </c>
      <c r="F18" s="23">
        <f>+SUMPRODUCT((요약!$O$7:$W$26)*(요약!$N$7:$N$26=$A18)*(요약!$O$6:$W$6=F$7))</f>
        <v>1655</v>
      </c>
      <c r="G18" s="23">
        <f>+SUMPRODUCT((요약!$O$7:$W$26)*(요약!$N$7:$N$26=$A18)*(요약!$O$6:$W$6=G$7))</f>
        <v>1962</v>
      </c>
      <c r="H18" s="23">
        <f>+SUMPRODUCT((요약!$O$7:$W$26)*(요약!$N$7:$N$26=$A18)*(요약!$O$6:$W$6=H$7))</f>
        <v>0</v>
      </c>
      <c r="I18" s="23">
        <f>+SUMPRODUCT((요약!$O$7:$W$26)*(요약!$N$7:$N$26=$A18)*(요약!$O$6:$W$6=I$7))</f>
        <v>1744</v>
      </c>
      <c r="J18" s="23">
        <f>+SUMPRODUCT((요약!$O$7:$W$26)*(요약!$N$7:$N$26=$A18)*(요약!$O$6:$W$6=J$7))</f>
        <v>1113</v>
      </c>
      <c r="K18" s="23">
        <f>+SUMPRODUCT((요약!$O$7:$W$26)*(요약!$N$7:$N$26=$A18)*(요약!$O$6:$W$6=K$7))</f>
        <v>0</v>
      </c>
      <c r="L18" s="23">
        <f>+SUMPRODUCT((요약!$O$7:$W$26)*(요약!$N$7:$N$26=$A18)*(요약!$O$6:$W$6=L$7))</f>
        <v>0</v>
      </c>
    </row>
    <row r="19" spans="1:12" x14ac:dyDescent="0.25">
      <c r="A19" s="25">
        <f t="shared" si="0"/>
        <v>12</v>
      </c>
      <c r="B19" s="23">
        <f>+SUMPRODUCT((요약!$O$7:$W$26)*(요약!$N$7:$N$26=$A19)*(요약!$O$6:$W$6=B$7))</f>
        <v>1924</v>
      </c>
      <c r="C19" s="23">
        <f>+SUMPRODUCT((요약!$O$7:$W$26)*(요약!$N$7:$N$26=$A19)*(요약!$O$6:$W$6=C$7))</f>
        <v>1920</v>
      </c>
      <c r="D19" s="23">
        <f>+SUMPRODUCT((요약!$O$7:$W$26)*(요약!$N$7:$N$26=$A19)*(요약!$O$6:$W$6=D$7))</f>
        <v>1556</v>
      </c>
      <c r="E19" s="23">
        <f>+SUMPRODUCT((요약!$O$7:$W$26)*(요약!$N$7:$N$26=$A19)*(요약!$O$6:$W$6=E$7))</f>
        <v>1938</v>
      </c>
      <c r="F19" s="23">
        <f>+SUMPRODUCT((요약!$O$7:$W$26)*(요약!$N$7:$N$26=$A19)*(요약!$O$6:$W$6=F$7))</f>
        <v>1748</v>
      </c>
      <c r="G19" s="23">
        <f>+SUMPRODUCT((요약!$O$7:$W$26)*(요약!$N$7:$N$26=$A19)*(요약!$O$6:$W$6=G$7))</f>
        <v>2453</v>
      </c>
      <c r="H19" s="23">
        <f>+SUMPRODUCT((요약!$O$7:$W$26)*(요약!$N$7:$N$26=$A19)*(요약!$O$6:$W$6=H$7))</f>
        <v>0</v>
      </c>
      <c r="I19" s="23">
        <f>+SUMPRODUCT((요약!$O$7:$W$26)*(요약!$N$7:$N$26=$A19)*(요약!$O$6:$W$6=I$7))</f>
        <v>2410</v>
      </c>
      <c r="J19" s="23">
        <f>+SUMPRODUCT((요약!$O$7:$W$26)*(요약!$N$7:$N$26=$A19)*(요약!$O$6:$W$6=J$7))</f>
        <v>1483</v>
      </c>
      <c r="K19" s="23">
        <f>+SUMPRODUCT((요약!$O$7:$W$26)*(요약!$N$7:$N$26=$A19)*(요약!$O$6:$W$6=K$7))</f>
        <v>0</v>
      </c>
      <c r="L19" s="23">
        <f>+SUMPRODUCT((요약!$O$7:$W$26)*(요약!$N$7:$N$26=$A19)*(요약!$O$6:$W$6=L$7))</f>
        <v>0</v>
      </c>
    </row>
    <row r="20" spans="1:12" x14ac:dyDescent="0.25">
      <c r="A20" s="25">
        <f t="shared" si="0"/>
        <v>13</v>
      </c>
      <c r="B20" s="23">
        <f>+SUMPRODUCT((요약!$O$7:$W$26)*(요약!$N$7:$N$26=$A20)*(요약!$O$6:$W$6=B$7))</f>
        <v>1795</v>
      </c>
      <c r="C20" s="23">
        <f>+SUMPRODUCT((요약!$O$7:$W$26)*(요약!$N$7:$N$26=$A20)*(요약!$O$6:$W$6=C$7))</f>
        <v>2218</v>
      </c>
      <c r="D20" s="23">
        <f>+SUMPRODUCT((요약!$O$7:$W$26)*(요약!$N$7:$N$26=$A20)*(요약!$O$6:$W$6=D$7))</f>
        <v>1535</v>
      </c>
      <c r="E20" s="23">
        <f>+SUMPRODUCT((요약!$O$7:$W$26)*(요약!$N$7:$N$26=$A20)*(요약!$O$6:$W$6=E$7))</f>
        <v>3138</v>
      </c>
      <c r="F20" s="23">
        <f>+SUMPRODUCT((요약!$O$7:$W$26)*(요약!$N$7:$N$26=$A20)*(요약!$O$6:$W$6=F$7))</f>
        <v>2669</v>
      </c>
      <c r="G20" s="23">
        <f>+SUMPRODUCT((요약!$O$7:$W$26)*(요약!$N$7:$N$26=$A20)*(요약!$O$6:$W$6=G$7))</f>
        <v>3403</v>
      </c>
      <c r="H20" s="23">
        <f>+SUMPRODUCT((요약!$O$7:$W$26)*(요약!$N$7:$N$26=$A20)*(요약!$O$6:$W$6=H$7))</f>
        <v>0</v>
      </c>
      <c r="I20" s="23">
        <f>+SUMPRODUCT((요약!$O$7:$W$26)*(요약!$N$7:$N$26=$A20)*(요약!$O$6:$W$6=I$7))</f>
        <v>1753</v>
      </c>
      <c r="J20" s="23">
        <f>+SUMPRODUCT((요약!$O$7:$W$26)*(요약!$N$7:$N$26=$A20)*(요약!$O$6:$W$6=J$7))</f>
        <v>2722</v>
      </c>
      <c r="K20" s="23">
        <f>+SUMPRODUCT((요약!$O$7:$W$26)*(요약!$N$7:$N$26=$A20)*(요약!$O$6:$W$6=K$7))</f>
        <v>0</v>
      </c>
      <c r="L20" s="23">
        <f>+SUMPRODUCT((요약!$O$7:$W$26)*(요약!$N$7:$N$26=$A20)*(요약!$O$6:$W$6=L$7))</f>
        <v>0</v>
      </c>
    </row>
    <row r="21" spans="1:12" x14ac:dyDescent="0.25">
      <c r="A21" s="25">
        <f t="shared" si="0"/>
        <v>14</v>
      </c>
      <c r="B21" s="23">
        <f>+SUMPRODUCT((요약!$O$7:$W$26)*(요약!$N$7:$N$26=$A21)*(요약!$O$6:$W$6=B$7))</f>
        <v>2510</v>
      </c>
      <c r="C21" s="23">
        <f>+SUMPRODUCT((요약!$O$7:$W$26)*(요약!$N$7:$N$26=$A21)*(요약!$O$6:$W$6=C$7))</f>
        <v>3530</v>
      </c>
      <c r="D21" s="23">
        <f>+SUMPRODUCT((요약!$O$7:$W$26)*(요약!$N$7:$N$26=$A21)*(요약!$O$6:$W$6=D$7))</f>
        <v>1921</v>
      </c>
      <c r="E21" s="23">
        <f>+SUMPRODUCT((요약!$O$7:$W$26)*(요약!$N$7:$N$26=$A21)*(요약!$O$6:$W$6=E$7))</f>
        <v>1936</v>
      </c>
      <c r="F21" s="23">
        <f>+SUMPRODUCT((요약!$O$7:$W$26)*(요약!$N$7:$N$26=$A21)*(요약!$O$6:$W$6=F$7))</f>
        <v>2474</v>
      </c>
      <c r="G21" s="23">
        <f>+SUMPRODUCT((요약!$O$7:$W$26)*(요약!$N$7:$N$26=$A21)*(요약!$O$6:$W$6=G$7))</f>
        <v>4035</v>
      </c>
      <c r="H21" s="23">
        <f>+SUMPRODUCT((요약!$O$7:$W$26)*(요약!$N$7:$N$26=$A21)*(요약!$O$6:$W$6=H$7))</f>
        <v>0</v>
      </c>
      <c r="I21" s="23">
        <f>+SUMPRODUCT((요약!$O$7:$W$26)*(요약!$N$7:$N$26=$A21)*(요약!$O$6:$W$6=I$7))</f>
        <v>0</v>
      </c>
      <c r="J21" s="23">
        <f>+SUMPRODUCT((요약!$O$7:$W$26)*(요약!$N$7:$N$26=$A21)*(요약!$O$6:$W$6=J$7))</f>
        <v>3007</v>
      </c>
      <c r="K21" s="23">
        <f>+SUMPRODUCT((요약!$O$7:$W$26)*(요약!$N$7:$N$26=$A21)*(요약!$O$6:$W$6=K$7))</f>
        <v>0</v>
      </c>
      <c r="L21" s="23">
        <f>+SUMPRODUCT((요약!$O$7:$W$26)*(요약!$N$7:$N$26=$A21)*(요약!$O$6:$W$6=L$7))</f>
        <v>0</v>
      </c>
    </row>
    <row r="22" spans="1:12" x14ac:dyDescent="0.25">
      <c r="A22" s="25">
        <f t="shared" si="0"/>
        <v>15</v>
      </c>
      <c r="B22" s="23">
        <f>+SUMPRODUCT((요약!$O$7:$W$26)*(요약!$N$7:$N$26=$A22)*(요약!$O$6:$W$6=B$7))</f>
        <v>4033</v>
      </c>
      <c r="C22" s="23">
        <f>+SUMPRODUCT((요약!$O$7:$W$26)*(요약!$N$7:$N$26=$A22)*(요약!$O$6:$W$6=C$7))</f>
        <v>1132</v>
      </c>
      <c r="D22" s="23">
        <f>+SUMPRODUCT((요약!$O$7:$W$26)*(요약!$N$7:$N$26=$A22)*(요약!$O$6:$W$6=D$7))</f>
        <v>1893</v>
      </c>
      <c r="E22" s="23">
        <f>+SUMPRODUCT((요약!$O$7:$W$26)*(요약!$N$7:$N$26=$A22)*(요약!$O$6:$W$6=E$7))</f>
        <v>0</v>
      </c>
      <c r="F22" s="23">
        <f>+SUMPRODUCT((요약!$O$7:$W$26)*(요약!$N$7:$N$26=$A22)*(요약!$O$6:$W$6=F$7))</f>
        <v>0</v>
      </c>
      <c r="G22" s="23">
        <f>+SUMPRODUCT((요약!$O$7:$W$26)*(요약!$N$7:$N$26=$A22)*(요약!$O$6:$W$6=G$7))</f>
        <v>0</v>
      </c>
      <c r="H22" s="23">
        <f>+SUMPRODUCT((요약!$O$7:$W$26)*(요약!$N$7:$N$26=$A22)*(요약!$O$6:$W$6=H$7))</f>
        <v>0</v>
      </c>
      <c r="I22" s="23">
        <f>+SUMPRODUCT((요약!$O$7:$W$26)*(요약!$N$7:$N$26=$A22)*(요약!$O$6:$W$6=I$7))</f>
        <v>0</v>
      </c>
      <c r="J22" s="23">
        <f>+SUMPRODUCT((요약!$O$7:$W$26)*(요약!$N$7:$N$26=$A22)*(요약!$O$6:$W$6=J$7))</f>
        <v>2991</v>
      </c>
      <c r="K22" s="23">
        <f>+SUMPRODUCT((요약!$O$7:$W$26)*(요약!$N$7:$N$26=$A22)*(요약!$O$6:$W$6=K$7))</f>
        <v>0</v>
      </c>
      <c r="L22" s="23">
        <f>+SUMPRODUCT((요약!$O$7:$W$26)*(요약!$N$7:$N$26=$A22)*(요약!$O$6:$W$6=L$7))</f>
        <v>0</v>
      </c>
    </row>
    <row r="23" spans="1:12" x14ac:dyDescent="0.25">
      <c r="A23" s="25">
        <f t="shared" si="0"/>
        <v>16</v>
      </c>
      <c r="B23" s="23">
        <f>+SUMPRODUCT((요약!$O$7:$W$26)*(요약!$N$7:$N$26=$A23)*(요약!$O$6:$W$6=B$7))</f>
        <v>6178</v>
      </c>
      <c r="C23" s="23">
        <f>+SUMPRODUCT((요약!$O$7:$W$26)*(요약!$N$7:$N$26=$A23)*(요약!$O$6:$W$6=C$7))</f>
        <v>0</v>
      </c>
      <c r="D23" s="23">
        <f>+SUMPRODUCT((요약!$O$7:$W$26)*(요약!$N$7:$N$26=$A23)*(요약!$O$6:$W$6=D$7))</f>
        <v>0</v>
      </c>
      <c r="E23" s="23">
        <f>+SUMPRODUCT((요약!$O$7:$W$26)*(요약!$N$7:$N$26=$A23)*(요약!$O$6:$W$6=E$7))</f>
        <v>0</v>
      </c>
      <c r="F23" s="23">
        <f>+SUMPRODUCT((요약!$O$7:$W$26)*(요약!$N$7:$N$26=$A23)*(요약!$O$6:$W$6=F$7))</f>
        <v>0</v>
      </c>
      <c r="G23" s="23">
        <f>+SUMPRODUCT((요약!$O$7:$W$26)*(요약!$N$7:$N$26=$A23)*(요약!$O$6:$W$6=G$7))</f>
        <v>0</v>
      </c>
      <c r="H23" s="23">
        <f>+SUMPRODUCT((요약!$O$7:$W$26)*(요약!$N$7:$N$26=$A23)*(요약!$O$6:$W$6=H$7))</f>
        <v>0</v>
      </c>
      <c r="I23" s="23">
        <f>+SUMPRODUCT((요약!$O$7:$W$26)*(요약!$N$7:$N$26=$A23)*(요약!$O$6:$W$6=I$7))</f>
        <v>0</v>
      </c>
      <c r="J23" s="23">
        <f>+SUMPRODUCT((요약!$O$7:$W$26)*(요약!$N$7:$N$26=$A23)*(요약!$O$6:$W$6=J$7))</f>
        <v>0</v>
      </c>
      <c r="K23" s="23">
        <f>+SUMPRODUCT((요약!$O$7:$W$26)*(요약!$N$7:$N$26=$A23)*(요약!$O$6:$W$6=K$7))</f>
        <v>0</v>
      </c>
      <c r="L23" s="23">
        <f>+SUMPRODUCT((요약!$O$7:$W$26)*(요약!$N$7:$N$26=$A23)*(요약!$O$6:$W$6=L$7))</f>
        <v>0</v>
      </c>
    </row>
    <row r="24" spans="1:12" x14ac:dyDescent="0.25">
      <c r="A24" s="25">
        <f t="shared" si="0"/>
        <v>17</v>
      </c>
      <c r="B24" s="23">
        <f>+SUMPRODUCT((요약!$O$7:$W$26)*(요약!$N$7:$N$26=$A24)*(요약!$O$6:$W$6=B$7))</f>
        <v>8602</v>
      </c>
      <c r="C24" s="23">
        <f>+SUMPRODUCT((요약!$O$7:$W$26)*(요약!$N$7:$N$26=$A24)*(요약!$O$6:$W$6=C$7))</f>
        <v>0</v>
      </c>
      <c r="D24" s="23">
        <f>+SUMPRODUCT((요약!$O$7:$W$26)*(요약!$N$7:$N$26=$A24)*(요약!$O$6:$W$6=D$7))</f>
        <v>0</v>
      </c>
      <c r="E24" s="23">
        <f>+SUMPRODUCT((요약!$O$7:$W$26)*(요약!$N$7:$N$26=$A24)*(요약!$O$6:$W$6=E$7))</f>
        <v>0</v>
      </c>
      <c r="F24" s="23">
        <f>+SUMPRODUCT((요약!$O$7:$W$26)*(요약!$N$7:$N$26=$A24)*(요약!$O$6:$W$6=F$7))</f>
        <v>0</v>
      </c>
      <c r="G24" s="23">
        <f>+SUMPRODUCT((요약!$O$7:$W$26)*(요약!$N$7:$N$26=$A24)*(요약!$O$6:$W$6=G$7))</f>
        <v>0</v>
      </c>
      <c r="H24" s="23">
        <f>+SUMPRODUCT((요약!$O$7:$W$26)*(요약!$N$7:$N$26=$A24)*(요약!$O$6:$W$6=H$7))</f>
        <v>0</v>
      </c>
      <c r="I24" s="23">
        <f>+SUMPRODUCT((요약!$O$7:$W$26)*(요약!$N$7:$N$26=$A24)*(요약!$O$6:$W$6=I$7))</f>
        <v>0</v>
      </c>
      <c r="J24" s="23">
        <f>+SUMPRODUCT((요약!$O$7:$W$26)*(요약!$N$7:$N$26=$A24)*(요약!$O$6:$W$6=J$7))</f>
        <v>0</v>
      </c>
      <c r="K24" s="23">
        <f>+SUMPRODUCT((요약!$O$7:$W$26)*(요약!$N$7:$N$26=$A24)*(요약!$O$6:$W$6=K$7))</f>
        <v>0</v>
      </c>
      <c r="L24" s="23">
        <f>+SUMPRODUCT((요약!$O$7:$W$26)*(요약!$N$7:$N$26=$A24)*(요약!$O$6:$W$6=L$7))</f>
        <v>0</v>
      </c>
    </row>
    <row r="25" spans="1:12" x14ac:dyDescent="0.25">
      <c r="A25" s="25">
        <f t="shared" si="0"/>
        <v>18</v>
      </c>
      <c r="B25" s="23">
        <f>+SUMPRODUCT((요약!$O$7:$W$26)*(요약!$N$7:$N$26=$A25)*(요약!$O$6:$W$6=B$7))</f>
        <v>9607</v>
      </c>
      <c r="C25" s="23">
        <f>+SUMPRODUCT((요약!$O$7:$W$26)*(요약!$N$7:$N$26=$A25)*(요약!$O$6:$W$6=C$7))</f>
        <v>0</v>
      </c>
      <c r="D25" s="23">
        <f>+SUMPRODUCT((요약!$O$7:$W$26)*(요약!$N$7:$N$26=$A25)*(요약!$O$6:$W$6=D$7))</f>
        <v>0</v>
      </c>
      <c r="E25" s="23">
        <f>+SUMPRODUCT((요약!$O$7:$W$26)*(요약!$N$7:$N$26=$A25)*(요약!$O$6:$W$6=E$7))</f>
        <v>0</v>
      </c>
      <c r="F25" s="23">
        <f>+SUMPRODUCT((요약!$O$7:$W$26)*(요약!$N$7:$N$26=$A25)*(요약!$O$6:$W$6=F$7))</f>
        <v>0</v>
      </c>
      <c r="G25" s="23">
        <f>+SUMPRODUCT((요약!$O$7:$W$26)*(요약!$N$7:$N$26=$A25)*(요약!$O$6:$W$6=G$7))</f>
        <v>0</v>
      </c>
      <c r="H25" s="23">
        <f>+SUMPRODUCT((요약!$O$7:$W$26)*(요약!$N$7:$N$26=$A25)*(요약!$O$6:$W$6=H$7))</f>
        <v>0</v>
      </c>
      <c r="I25" s="23">
        <f>+SUMPRODUCT((요약!$O$7:$W$26)*(요약!$N$7:$N$26=$A25)*(요약!$O$6:$W$6=I$7))</f>
        <v>0</v>
      </c>
      <c r="J25" s="23">
        <f>+SUMPRODUCT((요약!$O$7:$W$26)*(요약!$N$7:$N$26=$A25)*(요약!$O$6:$W$6=J$7))</f>
        <v>0</v>
      </c>
      <c r="K25" s="23">
        <f>+SUMPRODUCT((요약!$O$7:$W$26)*(요약!$N$7:$N$26=$A25)*(요약!$O$6:$W$6=K$7))</f>
        <v>0</v>
      </c>
      <c r="L25" s="23">
        <f>+SUMPRODUCT((요약!$O$7:$W$26)*(요약!$N$7:$N$26=$A25)*(요약!$O$6:$W$6=L$7))</f>
        <v>0</v>
      </c>
    </row>
    <row r="26" spans="1:12" x14ac:dyDescent="0.25">
      <c r="A26" s="25">
        <f t="shared" si="0"/>
        <v>19</v>
      </c>
      <c r="B26" s="23">
        <f>+SUMPRODUCT((요약!$O$7:$W$26)*(요약!$N$7:$N$26=$A26)*(요약!$O$6:$W$6=B$7))</f>
        <v>6419</v>
      </c>
      <c r="C26" s="23">
        <f>+SUMPRODUCT((요약!$O$7:$W$26)*(요약!$N$7:$N$26=$A26)*(요약!$O$6:$W$6=C$7))</f>
        <v>0</v>
      </c>
      <c r="D26" s="23">
        <f>+SUMPRODUCT((요약!$O$7:$W$26)*(요약!$N$7:$N$26=$A26)*(요약!$O$6:$W$6=D$7))</f>
        <v>0</v>
      </c>
      <c r="E26" s="23">
        <f>+SUMPRODUCT((요약!$O$7:$W$26)*(요약!$N$7:$N$26=$A26)*(요약!$O$6:$W$6=E$7))</f>
        <v>0</v>
      </c>
      <c r="F26" s="23">
        <f>+SUMPRODUCT((요약!$O$7:$W$26)*(요약!$N$7:$N$26=$A26)*(요약!$O$6:$W$6=F$7))</f>
        <v>0</v>
      </c>
      <c r="G26" s="23">
        <f>+SUMPRODUCT((요약!$O$7:$W$26)*(요약!$N$7:$N$26=$A26)*(요약!$O$6:$W$6=G$7))</f>
        <v>0</v>
      </c>
      <c r="H26" s="23">
        <f>+SUMPRODUCT((요약!$O$7:$W$26)*(요약!$N$7:$N$26=$A26)*(요약!$O$6:$W$6=H$7))</f>
        <v>0</v>
      </c>
      <c r="I26" s="23">
        <f>+SUMPRODUCT((요약!$O$7:$W$26)*(요약!$N$7:$N$26=$A26)*(요약!$O$6:$W$6=I$7))</f>
        <v>0</v>
      </c>
      <c r="J26" s="23">
        <f>+SUMPRODUCT((요약!$O$7:$W$26)*(요약!$N$7:$N$26=$A26)*(요약!$O$6:$W$6=J$7))</f>
        <v>0</v>
      </c>
      <c r="K26" s="23">
        <f>+SUMPRODUCT((요약!$O$7:$W$26)*(요약!$N$7:$N$26=$A26)*(요약!$O$6:$W$6=K$7))</f>
        <v>0</v>
      </c>
      <c r="L26" s="23">
        <f>+SUMPRODUCT((요약!$O$7:$W$26)*(요약!$N$7:$N$26=$A26)*(요약!$O$6:$W$6=L$7))</f>
        <v>0</v>
      </c>
    </row>
    <row r="27" spans="1:12" x14ac:dyDescent="0.25">
      <c r="A27" s="25">
        <f t="shared" si="0"/>
        <v>20</v>
      </c>
      <c r="B27" s="23">
        <f>+SUMPRODUCT((요약!$O$7:$W$26)*(요약!$N$7:$N$26=$A27)*(요약!$O$6:$W$6=B$7))</f>
        <v>6813</v>
      </c>
      <c r="C27" s="23">
        <f>+SUMPRODUCT((요약!$O$7:$W$26)*(요약!$N$7:$N$26=$A27)*(요약!$O$6:$W$6=C$7))</f>
        <v>0</v>
      </c>
      <c r="D27" s="23">
        <f>+SUMPRODUCT((요약!$O$7:$W$26)*(요약!$N$7:$N$26=$A27)*(요약!$O$6:$W$6=D$7))</f>
        <v>0</v>
      </c>
      <c r="E27" s="23">
        <f>+SUMPRODUCT((요약!$O$7:$W$26)*(요약!$N$7:$N$26=$A27)*(요약!$O$6:$W$6=E$7))</f>
        <v>0</v>
      </c>
      <c r="F27" s="23">
        <f>+SUMPRODUCT((요약!$O$7:$W$26)*(요약!$N$7:$N$26=$A27)*(요약!$O$6:$W$6=F$7))</f>
        <v>0</v>
      </c>
      <c r="G27" s="23">
        <f>+SUMPRODUCT((요약!$O$7:$W$26)*(요약!$N$7:$N$26=$A27)*(요약!$O$6:$W$6=G$7))</f>
        <v>0</v>
      </c>
      <c r="H27" s="23">
        <f>+SUMPRODUCT((요약!$O$7:$W$26)*(요약!$N$7:$N$26=$A27)*(요약!$O$6:$W$6=H$7))</f>
        <v>0</v>
      </c>
      <c r="I27" s="23">
        <f>+SUMPRODUCT((요약!$O$7:$W$26)*(요약!$N$7:$N$26=$A27)*(요약!$O$6:$W$6=I$7))</f>
        <v>0</v>
      </c>
      <c r="J27" s="23">
        <f>+SUMPRODUCT((요약!$O$7:$W$26)*(요약!$N$7:$N$26=$A27)*(요약!$O$6:$W$6=J$7))</f>
        <v>0</v>
      </c>
      <c r="K27" s="23">
        <f>+SUMPRODUCT((요약!$O$7:$W$26)*(요약!$N$7:$N$26=$A27)*(요약!$O$6:$W$6=K$7))</f>
        <v>0</v>
      </c>
      <c r="L27" s="23">
        <f>+SUMPRODUCT((요약!$O$7:$W$26)*(요약!$N$7:$N$26=$A27)*(요약!$O$6:$W$6=L$7))</f>
        <v>0</v>
      </c>
    </row>
    <row r="28" spans="1:12" x14ac:dyDescent="0.25">
      <c r="A28" s="25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x14ac:dyDescent="0.25">
      <c r="A29" s="2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x14ac:dyDescent="0.25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x14ac:dyDescent="0.25">
      <c r="A31" s="25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x14ac:dyDescent="0.25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12" x14ac:dyDescent="0.25">
      <c r="A33" s="25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x14ac:dyDescent="0.25">
      <c r="A34" s="25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25">
      <c r="A36" s="25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x14ac:dyDescent="0.25">
      <c r="A37" s="25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x14ac:dyDescent="0.25">
      <c r="A38" s="25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x14ac:dyDescent="0.25">
      <c r="A39" s="25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x14ac:dyDescent="0.25">
      <c r="A40" s="25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x14ac:dyDescent="0.25">
      <c r="A41" s="25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x14ac:dyDescent="0.25">
      <c r="A42" s="25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25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2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 x14ac:dyDescent="0.25">
      <c r="A45" s="25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3" tint="-0.249977111117893"/>
    <pageSetUpPr fitToPage="1"/>
  </sheetPr>
  <dimension ref="A1:P49"/>
  <sheetViews>
    <sheetView showGridLines="0" workbookViewId="0"/>
  </sheetViews>
  <sheetFormatPr defaultRowHeight="31.5" customHeight="1" x14ac:dyDescent="0.25"/>
  <cols>
    <col min="1" max="14" width="9.140625" style="128" customWidth="1"/>
    <col min="15" max="15" width="11.7109375" style="128" bestFit="1" customWidth="1"/>
  </cols>
  <sheetData>
    <row r="1" spans="1:15" ht="31.5" customHeight="1" x14ac:dyDescent="0.25">
      <c r="A1" s="475" t="s">
        <v>247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31.5" customHeight="1" x14ac:dyDescent="0.25">
      <c r="A2" s="474" t="str">
        <f>+일자별요약v2!A2</f>
        <v>2024-04-08   (45일차)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</row>
    <row r="3" spans="1:15" ht="31.5" customHeight="1" x14ac:dyDescent="0.25">
      <c r="A3" s="474" t="str">
        <f>+일자별요약v2!$J$81</f>
        <v>&lt; 6주 + 3일차 &gt;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</row>
    <row r="4" spans="1:15" ht="31.5" customHeight="1" x14ac:dyDescent="0.25">
      <c r="A4" s="413" t="s">
        <v>183</v>
      </c>
    </row>
    <row r="5" spans="1:15" ht="31.5" customHeight="1" x14ac:dyDescent="0.25">
      <c r="A5" s="934" t="s">
        <v>29</v>
      </c>
      <c r="B5" s="934"/>
      <c r="C5" s="935"/>
      <c r="D5" s="409" t="s">
        <v>136</v>
      </c>
      <c r="E5" s="409"/>
      <c r="F5" s="409"/>
      <c r="G5" s="409" t="s">
        <v>137</v>
      </c>
      <c r="H5" s="409"/>
      <c r="I5" s="409"/>
      <c r="J5" s="409" t="s">
        <v>99</v>
      </c>
      <c r="K5" s="409"/>
      <c r="L5" s="409"/>
      <c r="M5" s="409" t="s">
        <v>140</v>
      </c>
      <c r="N5" s="409"/>
      <c r="O5" s="941" t="s">
        <v>248</v>
      </c>
    </row>
    <row r="6" spans="1:15" ht="31.5" customHeight="1" x14ac:dyDescent="0.25">
      <c r="A6" s="936"/>
      <c r="B6" s="936"/>
      <c r="C6" s="937"/>
      <c r="D6" s="482" t="s">
        <v>22</v>
      </c>
      <c r="E6" s="483" t="s">
        <v>138</v>
      </c>
      <c r="F6" s="483" t="s">
        <v>139</v>
      </c>
      <c r="G6" s="482" t="s">
        <v>22</v>
      </c>
      <c r="H6" s="483" t="s">
        <v>138</v>
      </c>
      <c r="I6" s="483" t="s">
        <v>139</v>
      </c>
      <c r="J6" s="482" t="s">
        <v>22</v>
      </c>
      <c r="K6" s="483" t="s">
        <v>138</v>
      </c>
      <c r="L6" s="483" t="s">
        <v>139</v>
      </c>
      <c r="M6" s="482" t="s">
        <v>9</v>
      </c>
      <c r="N6" s="483" t="s">
        <v>1</v>
      </c>
      <c r="O6" s="942"/>
    </row>
    <row r="7" spans="1:15" ht="31.5" customHeight="1" x14ac:dyDescent="0.25">
      <c r="A7" s="513" t="s">
        <v>24</v>
      </c>
      <c r="B7" s="514"/>
      <c r="C7" s="514"/>
      <c r="D7" s="515">
        <f>+일자별요약v2!$F$8</f>
        <v>45</v>
      </c>
      <c r="E7" s="516">
        <f ca="1">+일자별요약v2!$I$8</f>
        <v>9376</v>
      </c>
      <c r="F7" s="516">
        <f ca="1">+E7/D7</f>
        <v>208.35555555555555</v>
      </c>
      <c r="G7" s="517">
        <f>+J7-D7</f>
        <v>48</v>
      </c>
      <c r="H7" s="518">
        <f ca="1">+K7-E7</f>
        <v>30624</v>
      </c>
      <c r="I7" s="518">
        <f ca="1">+H7/G7</f>
        <v>638</v>
      </c>
      <c r="J7" s="516">
        <f>+일자별요약v2!E8</f>
        <v>93</v>
      </c>
      <c r="K7" s="518">
        <v>40000</v>
      </c>
      <c r="L7" s="518">
        <f>+K7/J7</f>
        <v>430.10752688172045</v>
      </c>
      <c r="M7" s="519">
        <f t="shared" ref="M7:O8" si="0">+D7/J7</f>
        <v>0.4838709677419355</v>
      </c>
      <c r="N7" s="519">
        <f t="shared" ca="1" si="0"/>
        <v>0.2344</v>
      </c>
      <c r="O7" s="672">
        <f ca="1">+F7-L7</f>
        <v>-221.75197132616489</v>
      </c>
    </row>
    <row r="8" spans="1:15" ht="31.5" hidden="1" customHeight="1" x14ac:dyDescent="0.25">
      <c r="A8" s="476" t="s">
        <v>32</v>
      </c>
      <c r="B8" s="477"/>
      <c r="C8" s="477"/>
      <c r="D8" s="478">
        <f>+D7</f>
        <v>45</v>
      </c>
      <c r="E8" s="479">
        <f ca="1">+일자별요약v2!$I$9</f>
        <v>10016</v>
      </c>
      <c r="F8" s="479">
        <f ca="1">+E8/D8</f>
        <v>222.57777777777778</v>
      </c>
      <c r="G8" s="478">
        <f>+J8-D8</f>
        <v>52</v>
      </c>
      <c r="H8" s="479">
        <f ca="1">+K8-E8</f>
        <v>18586</v>
      </c>
      <c r="I8" s="479">
        <f ca="1">+H8/G8</f>
        <v>357.42307692307691</v>
      </c>
      <c r="J8" s="478">
        <f>+일자별요약v2!E9</f>
        <v>97</v>
      </c>
      <c r="K8" s="479">
        <f>+요약!$K$10</f>
        <v>28602</v>
      </c>
      <c r="L8" s="479">
        <f>+K8/J8</f>
        <v>294.86597938144331</v>
      </c>
      <c r="M8" s="480">
        <f t="shared" si="0"/>
        <v>0.46391752577319589</v>
      </c>
      <c r="N8" s="480">
        <f t="shared" ca="1" si="0"/>
        <v>0.35018530172715195</v>
      </c>
      <c r="O8" s="481">
        <f t="shared" ca="1" si="0"/>
        <v>0.75484387261186081</v>
      </c>
    </row>
    <row r="9" spans="1:15" ht="31.5" hidden="1" customHeight="1" x14ac:dyDescent="0.25">
      <c r="A9" s="415" t="s">
        <v>152</v>
      </c>
      <c r="B9" s="410"/>
      <c r="C9" s="410"/>
      <c r="D9" s="490"/>
      <c r="E9" s="411">
        <f t="shared" ref="E9:O9" ca="1" si="1">+E7-E8</f>
        <v>-640</v>
      </c>
      <c r="F9" s="411">
        <f t="shared" ca="1" si="1"/>
        <v>-14.222222222222229</v>
      </c>
      <c r="G9" s="411">
        <f t="shared" si="1"/>
        <v>-4</v>
      </c>
      <c r="H9" s="411">
        <f t="shared" ca="1" si="1"/>
        <v>12038</v>
      </c>
      <c r="I9" s="411">
        <f t="shared" ca="1" si="1"/>
        <v>280.57692307692309</v>
      </c>
      <c r="J9" s="411">
        <f t="shared" si="1"/>
        <v>-4</v>
      </c>
      <c r="K9" s="411">
        <f t="shared" si="1"/>
        <v>11398</v>
      </c>
      <c r="L9" s="411">
        <f t="shared" si="1"/>
        <v>135.24154750027714</v>
      </c>
      <c r="M9" s="412">
        <f t="shared" si="1"/>
        <v>1.9953441968739605E-2</v>
      </c>
      <c r="N9" s="412">
        <f t="shared" ca="1" si="1"/>
        <v>-0.11578530172715196</v>
      </c>
      <c r="O9" s="416">
        <f t="shared" ca="1" si="1"/>
        <v>-222.50681519877676</v>
      </c>
    </row>
    <row r="10" spans="1:15" ht="31.5" hidden="1" customHeight="1" x14ac:dyDescent="0.25">
      <c r="A10" s="413" t="s">
        <v>141</v>
      </c>
    </row>
    <row r="11" spans="1:15" ht="31.5" hidden="1" customHeight="1" x14ac:dyDescent="0.25">
      <c r="A11" s="383"/>
      <c r="B11" s="383"/>
      <c r="C11" s="383"/>
      <c r="D11" s="938" t="s">
        <v>146</v>
      </c>
      <c r="E11" s="938"/>
      <c r="F11" s="938"/>
      <c r="G11" s="938"/>
      <c r="H11" s="939" t="s">
        <v>147</v>
      </c>
      <c r="I11" s="939"/>
      <c r="J11" s="939"/>
      <c r="K11" s="939"/>
      <c r="L11" s="940" t="s">
        <v>148</v>
      </c>
      <c r="M11" s="940"/>
      <c r="N11" s="940"/>
      <c r="O11" s="940"/>
    </row>
    <row r="12" spans="1:15" ht="27.75" hidden="1" customHeight="1" x14ac:dyDescent="0.25">
      <c r="A12" s="414" t="s">
        <v>142</v>
      </c>
      <c r="B12" s="375"/>
      <c r="C12" s="375"/>
      <c r="D12" s="376">
        <f ca="1">+일자별요약v2!B20</f>
        <v>27200</v>
      </c>
      <c r="E12" s="376"/>
      <c r="F12" s="376"/>
      <c r="G12" s="376"/>
      <c r="H12" s="376">
        <f ca="1">+일자별요약v2!E20</f>
        <v>19400</v>
      </c>
      <c r="I12" s="376"/>
      <c r="J12" s="376"/>
      <c r="K12" s="381"/>
      <c r="L12" s="376">
        <f>+일자별요약v2!H20</f>
        <v>15768</v>
      </c>
      <c r="M12" s="376"/>
      <c r="N12" s="376"/>
      <c r="O12" s="417"/>
    </row>
    <row r="13" spans="1:15" ht="27.75" hidden="1" customHeight="1" x14ac:dyDescent="0.25">
      <c r="A13" s="414" t="s">
        <v>147</v>
      </c>
      <c r="B13" s="375"/>
      <c r="C13" s="375"/>
      <c r="D13" s="374">
        <f ca="1">+일자별요약v2!B21</f>
        <v>292.47311827956992</v>
      </c>
      <c r="E13" s="374"/>
      <c r="F13" s="374"/>
      <c r="G13" s="374"/>
      <c r="H13" s="374">
        <f ca="1">+일자별요약v2!E21</f>
        <v>208.6021505376344</v>
      </c>
      <c r="I13" s="374"/>
      <c r="J13" s="374"/>
      <c r="K13" s="375"/>
      <c r="L13" s="374">
        <f>+일자별요약v2!H21</f>
        <v>169.54838709677421</v>
      </c>
      <c r="M13" s="374"/>
      <c r="N13" s="374"/>
      <c r="O13" s="417"/>
    </row>
    <row r="14" spans="1:15" ht="27.75" hidden="1" customHeight="1" x14ac:dyDescent="0.25">
      <c r="A14" s="414" t="s">
        <v>151</v>
      </c>
      <c r="B14" s="375"/>
      <c r="C14" s="375"/>
      <c r="D14" s="378">
        <f ca="1">$F$7-+D13</f>
        <v>-84.117562724014363</v>
      </c>
      <c r="E14" s="378"/>
      <c r="F14" s="378"/>
      <c r="G14" s="377"/>
      <c r="H14" s="379"/>
      <c r="I14" s="385"/>
      <c r="J14" s="385"/>
      <c r="K14" s="380"/>
      <c r="L14" s="378">
        <f ca="1">$F$7-+L13</f>
        <v>38.807168458781348</v>
      </c>
      <c r="M14" s="378"/>
      <c r="N14" s="378"/>
      <c r="O14" s="418"/>
    </row>
    <row r="15" spans="1:15" ht="12" customHeight="1" x14ac:dyDescent="0.25">
      <c r="A15" s="457"/>
      <c r="B15" s="457"/>
      <c r="C15" s="457"/>
      <c r="D15" s="458"/>
      <c r="E15" s="458"/>
      <c r="F15" s="458"/>
      <c r="G15" s="459"/>
      <c r="H15" s="459"/>
      <c r="I15" s="459"/>
      <c r="J15" s="459"/>
      <c r="K15" s="459"/>
      <c r="L15" s="459"/>
      <c r="M15" s="458"/>
      <c r="N15" s="458"/>
      <c r="O15" s="460"/>
    </row>
    <row r="16" spans="1:15" ht="31.5" customHeight="1" x14ac:dyDescent="0.25">
      <c r="A16" s="419" t="s">
        <v>189</v>
      </c>
    </row>
    <row r="17" spans="1:16" ht="15" customHeight="1" x14ac:dyDescent="0.25">
      <c r="A17" s="55"/>
      <c r="B17" s="55"/>
      <c r="C17" s="420" t="str">
        <f>+IF(C18&lt;=일자별요약v2!$N$83,"완료","진행중")</f>
        <v>완료</v>
      </c>
      <c r="D17" s="493" t="str">
        <f>+IF(D18&lt;=일자별요약v2!$N$83,"완료","진행중")</f>
        <v>완료</v>
      </c>
      <c r="E17" s="493" t="str">
        <f>+IF(E18&lt;=일자별요약v2!$N$83,"완료","진행중")</f>
        <v>완료</v>
      </c>
      <c r="F17" s="493" t="str">
        <f>+IF(F18&lt;=일자별요약v2!$N$83,"완료","진행중")</f>
        <v>진행중</v>
      </c>
      <c r="G17" s="493" t="str">
        <f>+IF(G18&lt;=일자별요약v2!$N$83,"완료","진행중")</f>
        <v>진행중</v>
      </c>
      <c r="H17" s="493" t="str">
        <f>+IF(H18&lt;=일자별요약v2!$N$83,"완료","진행중")</f>
        <v>진행중</v>
      </c>
      <c r="I17" s="493" t="str">
        <f>+IF(I18&lt;=일자별요약v2!$N$83,"완료","진행중")</f>
        <v>진행중</v>
      </c>
      <c r="J17" s="493" t="str">
        <f>+IF(J18&lt;=일자별요약v2!$N$83,"완료","진행중")</f>
        <v>진행중</v>
      </c>
      <c r="K17" s="493" t="str">
        <f>+IF(K18&lt;=일자별요약v2!$N$83,"완료","진행중")</f>
        <v>진행중</v>
      </c>
      <c r="L17" s="493" t="str">
        <f>+IF(L18&lt;=일자별요약v2!$N$83,"완료","진행중")</f>
        <v>진행중</v>
      </c>
      <c r="M17" s="74"/>
      <c r="O17" s="421" t="s">
        <v>157</v>
      </c>
    </row>
    <row r="18" spans="1:16" ht="28.5" customHeight="1" x14ac:dyDescent="0.25">
      <c r="A18" s="470" t="s">
        <v>29</v>
      </c>
      <c r="B18" s="471"/>
      <c r="C18" s="472">
        <v>2</v>
      </c>
      <c r="D18" s="472">
        <f t="shared" ref="D18:L18" si="2">+C18+2</f>
        <v>4</v>
      </c>
      <c r="E18" s="472">
        <f t="shared" si="2"/>
        <v>6</v>
      </c>
      <c r="F18" s="472">
        <f t="shared" si="2"/>
        <v>8</v>
      </c>
      <c r="G18" s="472">
        <f t="shared" si="2"/>
        <v>10</v>
      </c>
      <c r="H18" s="472">
        <f t="shared" si="2"/>
        <v>12</v>
      </c>
      <c r="I18" s="472">
        <f t="shared" si="2"/>
        <v>14</v>
      </c>
      <c r="J18" s="472">
        <f t="shared" si="2"/>
        <v>16</v>
      </c>
      <c r="K18" s="472">
        <f t="shared" si="2"/>
        <v>18</v>
      </c>
      <c r="L18" s="472">
        <f t="shared" si="2"/>
        <v>20</v>
      </c>
      <c r="M18" s="473" t="s">
        <v>113</v>
      </c>
      <c r="N18" s="922" t="s">
        <v>178</v>
      </c>
      <c r="O18" s="923"/>
    </row>
    <row r="19" spans="1:16" ht="28.5" customHeight="1" x14ac:dyDescent="0.25">
      <c r="A19" s="930" t="s">
        <v>158</v>
      </c>
      <c r="B19" s="393" t="s">
        <v>3</v>
      </c>
      <c r="C19" s="394">
        <f>+SUMPRODUCT((요약!$O$7:$W$26)*(요약!$N$7:$N$26&lt;=C$18)*(요약!$O$6:$W$6=$B19))</f>
        <v>13564</v>
      </c>
      <c r="D19" s="394">
        <f>+SUMPRODUCT((요약!$O$7:$W$26)*(요약!$N$7:$N$26&lt;=D$18)*(요약!$O$6:$W$6=$B19))-SUM($C19:C19)</f>
        <v>11754</v>
      </c>
      <c r="E19" s="394">
        <f>+SUMPRODUCT((요약!$O$7:$W$26)*(요약!$N$7:$N$26&lt;=E$18)*(요약!$O$6:$W$6=$B19))-SUM($C19:D19)</f>
        <v>12606</v>
      </c>
      <c r="F19" s="394">
        <f>+SUMPRODUCT((요약!$O$7:$W$26)*(요약!$N$7:$N$26&lt;=F$18)*(요약!$O$6:$W$6=$B19))-SUM($C19:E19)</f>
        <v>8153</v>
      </c>
      <c r="G19" s="394">
        <f>+SUMPRODUCT((요약!$O$7:$W$26)*(요약!$N$7:$N$26&lt;=G$18)*(요약!$O$6:$W$6=$B19))-SUM($C19:F19)</f>
        <v>3767</v>
      </c>
      <c r="H19" s="394">
        <f>+SUMPRODUCT((요약!$O$7:$W$26)*(요약!$N$7:$N$26&lt;=H$18)*(요약!$O$6:$W$6=$B19))-SUM($C19:G19)</f>
        <v>3391</v>
      </c>
      <c r="I19" s="394">
        <f>+SUMPRODUCT((요약!$O$7:$W$26)*(요약!$N$7:$N$26&lt;=I$18)*(요약!$O$6:$W$6=$B19))-SUM($C19:H19)</f>
        <v>4305</v>
      </c>
      <c r="J19" s="394">
        <f>+SUMPRODUCT((요약!$O$7:$W$26)*(요약!$N$7:$N$26&lt;=J$18)*(요약!$O$6:$W$6=$B19))-SUM($C19:I19)</f>
        <v>10211</v>
      </c>
      <c r="K19" s="394">
        <f>+SUMPRODUCT((요약!$O$7:$W$26)*(요약!$N$7:$N$26&lt;=K$18)*(요약!$O$6:$W$6=$B19))-SUM($C19:J19)</f>
        <v>18209</v>
      </c>
      <c r="L19" s="394">
        <f>+SUMPRODUCT((요약!$O$7:$W$26)*(요약!$N$7:$N$26&lt;=L$18)*(요약!$O$6:$W$6=$B19))-SUM($C19:K19)</f>
        <v>13232</v>
      </c>
      <c r="M19" s="395">
        <f t="shared" ref="M19:M31" si="3">+SUM(C19:L19)</f>
        <v>99192</v>
      </c>
      <c r="N19" s="924" t="s">
        <v>153</v>
      </c>
      <c r="O19" s="925"/>
      <c r="P19" s="23">
        <f t="shared" ref="P19:P27" si="4">+SUM(C19:L19)</f>
        <v>99192</v>
      </c>
    </row>
    <row r="20" spans="1:16" ht="28.5" customHeight="1" x14ac:dyDescent="0.25">
      <c r="A20" s="931"/>
      <c r="B20" s="393" t="s">
        <v>10</v>
      </c>
      <c r="C20" s="394">
        <f>+SUMPRODUCT((요약!$O$7:$W$26)*(요약!$N$7:$N$26&lt;=C$18)*(요약!$O$6:$W$6=$B20))</f>
        <v>3873</v>
      </c>
      <c r="D20" s="394">
        <f>+SUMPRODUCT((요약!$O$7:$W$26)*(요약!$N$7:$N$26&lt;=D$18)*(요약!$O$6:$W$6=$B20))-SUM($C20:C20)</f>
        <v>4430</v>
      </c>
      <c r="E20" s="394">
        <f>+SUMPRODUCT((요약!$O$7:$W$26)*(요약!$N$7:$N$26&lt;=E$18)*(요약!$O$6:$W$6=$B20))-SUM($C20:D20)</f>
        <v>4592</v>
      </c>
      <c r="F20" s="394">
        <f>+SUMPRODUCT((요약!$O$7:$W$26)*(요약!$N$7:$N$26&lt;=F$18)*(요약!$O$6:$W$6=$B20))-SUM($C20:E20)</f>
        <v>2864</v>
      </c>
      <c r="G20" s="394">
        <f>+SUMPRODUCT((요약!$O$7:$W$26)*(요약!$N$7:$N$26&lt;=G$18)*(요약!$O$6:$W$6=$B20))-SUM($C20:F20)</f>
        <v>3705</v>
      </c>
      <c r="H20" s="394">
        <f>+SUMPRODUCT((요약!$O$7:$W$26)*(요약!$N$7:$N$26&lt;=H$18)*(요약!$O$6:$W$6=$B20))-SUM($C20:G20)</f>
        <v>3513</v>
      </c>
      <c r="I20" s="394">
        <f>+SUMPRODUCT((요약!$O$7:$W$26)*(요약!$N$7:$N$26&lt;=I$18)*(요약!$O$6:$W$6=$B20))-SUM($C20:H20)</f>
        <v>5748</v>
      </c>
      <c r="J20" s="394">
        <f>+SUMPRODUCT((요약!$O$7:$W$26)*(요약!$N$7:$N$26&lt;=J$18)*(요약!$O$6:$W$6=$B20))-SUM($C20:I20)</f>
        <v>1132</v>
      </c>
      <c r="K20" s="487">
        <f>+SUMPRODUCT((요약!$O$7:$W$26)*(요약!$N$7:$N$26&lt;=K$18)*(요약!$O$6:$W$6=$B20))-SUM($C20:J20)</f>
        <v>0</v>
      </c>
      <c r="L20" s="487">
        <f>+SUMPRODUCT((요약!$O$7:$W$26)*(요약!$N$7:$N$26&lt;=L$18)*(요약!$O$6:$W$6=$B20))-SUM($C20:K20)</f>
        <v>0</v>
      </c>
      <c r="M20" s="395">
        <f t="shared" si="3"/>
        <v>29857</v>
      </c>
      <c r="N20" s="924" t="s">
        <v>156</v>
      </c>
      <c r="O20" s="925"/>
      <c r="P20" s="23">
        <f t="shared" si="4"/>
        <v>29857</v>
      </c>
    </row>
    <row r="21" spans="1:16" ht="28.5" customHeight="1" x14ac:dyDescent="0.25">
      <c r="A21" s="931"/>
      <c r="B21" s="393" t="s">
        <v>11</v>
      </c>
      <c r="C21" s="394">
        <f>+SUMPRODUCT((요약!$O$7:$W$26)*(요약!$N$7:$N$26&lt;=C$18)*(요약!$O$6:$W$6=$B21))</f>
        <v>4019</v>
      </c>
      <c r="D21" s="394">
        <f>+SUMPRODUCT((요약!$O$7:$W$26)*(요약!$N$7:$N$26&lt;=D$18)*(요약!$O$6:$W$6=$B21))-SUM($C21:C21)</f>
        <v>3913</v>
      </c>
      <c r="E21" s="394">
        <f>+SUMPRODUCT((요약!$O$7:$W$26)*(요약!$N$7:$N$26&lt;=E$18)*(요약!$O$6:$W$6=$B21))-SUM($C21:D21)</f>
        <v>3625</v>
      </c>
      <c r="F21" s="394">
        <f>+SUMPRODUCT((요약!$O$7:$W$26)*(요약!$N$7:$N$26&lt;=F$18)*(요약!$O$6:$W$6=$B21))-SUM($C21:E21)</f>
        <v>2242</v>
      </c>
      <c r="G21" s="394">
        <f>+SUMPRODUCT((요약!$O$7:$W$26)*(요약!$N$7:$N$26&lt;=G$18)*(요약!$O$6:$W$6=$B21))-SUM($C21:F21)</f>
        <v>2746</v>
      </c>
      <c r="H21" s="394">
        <f>+SUMPRODUCT((요약!$O$7:$W$26)*(요약!$N$7:$N$26&lt;=H$18)*(요약!$O$6:$W$6=$B21))-SUM($C21:G21)</f>
        <v>3298</v>
      </c>
      <c r="I21" s="394">
        <f>+SUMPRODUCT((요약!$O$7:$W$26)*(요약!$N$7:$N$26&lt;=I$18)*(요약!$O$6:$W$6=$B21))-SUM($C21:H21)</f>
        <v>3456</v>
      </c>
      <c r="J21" s="394">
        <f>+SUMPRODUCT((요약!$O$7:$W$26)*(요약!$N$7:$N$26&lt;=J$18)*(요약!$O$6:$W$6=$B21))-SUM($C21:I21)</f>
        <v>1893</v>
      </c>
      <c r="K21" s="487">
        <f>+SUMPRODUCT((요약!$O$7:$W$26)*(요약!$N$7:$N$26&lt;=K$18)*(요약!$O$6:$W$6=$B21))-SUM($C21:J21)</f>
        <v>0</v>
      </c>
      <c r="L21" s="487">
        <f>+SUMPRODUCT((요약!$O$7:$W$26)*(요약!$N$7:$N$26&lt;=L$18)*(요약!$O$6:$W$6=$B21))-SUM($C21:K21)</f>
        <v>0</v>
      </c>
      <c r="M21" s="395">
        <f t="shared" si="3"/>
        <v>25192</v>
      </c>
      <c r="N21" s="924" t="s">
        <v>155</v>
      </c>
      <c r="O21" s="925"/>
      <c r="P21" s="23">
        <f t="shared" si="4"/>
        <v>25192</v>
      </c>
    </row>
    <row r="22" spans="1:16" ht="28.5" customHeight="1" x14ac:dyDescent="0.25">
      <c r="A22" s="931"/>
      <c r="B22" s="393" t="s">
        <v>12</v>
      </c>
      <c r="C22" s="394">
        <f>+SUMPRODUCT((요약!$O$7:$W$26)*(요약!$N$7:$N$26&lt;=C$18)*(요약!$O$6:$W$6=$B22))</f>
        <v>8344</v>
      </c>
      <c r="D22" s="394">
        <f>+SUMPRODUCT((요약!$O$7:$W$26)*(요약!$N$7:$N$26&lt;=D$18)*(요약!$O$6:$W$6=$B22))-SUM($C22:C22)</f>
        <v>8356</v>
      </c>
      <c r="E22" s="394">
        <f>+SUMPRODUCT((요약!$O$7:$W$26)*(요약!$N$7:$N$26&lt;=E$18)*(요약!$O$6:$W$6=$B22))-SUM($C22:D22)</f>
        <v>7524</v>
      </c>
      <c r="F22" s="394">
        <f>+SUMPRODUCT((요약!$O$7:$W$26)*(요약!$N$7:$N$26&lt;=F$18)*(요약!$O$6:$W$6=$B22))-SUM($C22:E22)</f>
        <v>4875</v>
      </c>
      <c r="G22" s="394">
        <f>+SUMPRODUCT((요약!$O$7:$W$26)*(요약!$N$7:$N$26&lt;=G$18)*(요약!$O$6:$W$6=$B22))-SUM($C22:F22)</f>
        <v>4809</v>
      </c>
      <c r="H22" s="394">
        <f>+SUMPRODUCT((요약!$O$7:$W$26)*(요약!$N$7:$N$26&lt;=H$18)*(요약!$O$6:$W$6=$B22))-SUM($C22:G22)</f>
        <v>3563</v>
      </c>
      <c r="I22" s="394">
        <f>+SUMPRODUCT((요약!$O$7:$W$26)*(요약!$N$7:$N$26&lt;=I$18)*(요약!$O$6:$W$6=$B22))-SUM($C22:H22)</f>
        <v>5074</v>
      </c>
      <c r="J22" s="487">
        <f>+SUMPRODUCT((요약!$O$7:$W$26)*(요약!$N$7:$N$26&lt;=J$18)*(요약!$O$6:$W$6=$B22))-SUM($C22:I22)</f>
        <v>0</v>
      </c>
      <c r="K22" s="487">
        <f>+SUMPRODUCT((요약!$O$7:$W$26)*(요약!$N$7:$N$26&lt;=K$18)*(요약!$O$6:$W$6=$B22))-SUM($C22:J22)</f>
        <v>0</v>
      </c>
      <c r="L22" s="487">
        <f>+SUMPRODUCT((요약!$O$7:$W$26)*(요약!$N$7:$N$26&lt;=L$18)*(요약!$O$6:$W$6=$B22))-SUM($C22:K22)</f>
        <v>0</v>
      </c>
      <c r="M22" s="395">
        <f t="shared" si="3"/>
        <v>42545</v>
      </c>
      <c r="N22" s="924" t="s">
        <v>155</v>
      </c>
      <c r="O22" s="925"/>
      <c r="P22" s="23">
        <f t="shared" si="4"/>
        <v>42545</v>
      </c>
    </row>
    <row r="23" spans="1:16" ht="28.5" customHeight="1" x14ac:dyDescent="0.25">
      <c r="A23" s="931"/>
      <c r="B23" s="393" t="s">
        <v>13</v>
      </c>
      <c r="C23" s="394">
        <f>+SUMPRODUCT((요약!$O$7:$W$26)*(요약!$N$7:$N$26&lt;=C$18)*(요약!$O$6:$W$6=$B23))</f>
        <v>1865</v>
      </c>
      <c r="D23" s="394">
        <f>+SUMPRODUCT((요약!$O$7:$W$26)*(요약!$N$7:$N$26&lt;=D$18)*(요약!$O$6:$W$6=$B23))-SUM($C23:C23)</f>
        <v>1928</v>
      </c>
      <c r="E23" s="394">
        <f>+SUMPRODUCT((요약!$O$7:$W$26)*(요약!$N$7:$N$26&lt;=E$18)*(요약!$O$6:$W$6=$B23))-SUM($C23:D23)</f>
        <v>1629</v>
      </c>
      <c r="F23" s="394">
        <f>+SUMPRODUCT((요약!$O$7:$W$26)*(요약!$N$7:$N$26&lt;=F$18)*(요약!$O$6:$W$6=$B23))-SUM($C23:E23)</f>
        <v>1666</v>
      </c>
      <c r="G23" s="394">
        <f>+SUMPRODUCT((요약!$O$7:$W$26)*(요약!$N$7:$N$26&lt;=G$18)*(요약!$O$6:$W$6=$B23))-SUM($C23:F23)</f>
        <v>2308</v>
      </c>
      <c r="H23" s="394">
        <f>+SUMPRODUCT((요약!$O$7:$W$26)*(요약!$N$7:$N$26&lt;=H$18)*(요약!$O$6:$W$6=$B23))-SUM($C23:G23)</f>
        <v>3403</v>
      </c>
      <c r="I23" s="394">
        <f>+SUMPRODUCT((요약!$O$7:$W$26)*(요약!$N$7:$N$26&lt;=I$18)*(요약!$O$6:$W$6=$B23))-SUM($C23:H23)</f>
        <v>5143</v>
      </c>
      <c r="J23" s="487">
        <f>+SUMPRODUCT((요약!$O$7:$W$26)*(요약!$N$7:$N$26&lt;=J$18)*(요약!$O$6:$W$6=$B23))-SUM($C23:I23)</f>
        <v>0</v>
      </c>
      <c r="K23" s="487">
        <f>+SUMPRODUCT((요약!$O$7:$W$26)*(요약!$N$7:$N$26&lt;=K$18)*(요약!$O$6:$W$6=$B23))-SUM($C23:J23)</f>
        <v>0</v>
      </c>
      <c r="L23" s="487">
        <f>+SUMPRODUCT((요약!$O$7:$W$26)*(요약!$N$7:$N$26&lt;=L$18)*(요약!$O$6:$W$6=$B23))-SUM($C23:K23)</f>
        <v>0</v>
      </c>
      <c r="M23" s="395">
        <f t="shared" si="3"/>
        <v>17942</v>
      </c>
      <c r="N23" s="924" t="s">
        <v>153</v>
      </c>
      <c r="O23" s="925"/>
      <c r="P23" s="23">
        <f t="shared" si="4"/>
        <v>17942</v>
      </c>
    </row>
    <row r="24" spans="1:16" ht="28.5" customHeight="1" x14ac:dyDescent="0.25">
      <c r="A24" s="931"/>
      <c r="B24" s="391" t="s">
        <v>14</v>
      </c>
      <c r="C24" s="394">
        <f>+SUMPRODUCT((요약!$O$7:$W$26)*(요약!$N$7:$N$26&lt;=C$18)*(요약!$O$6:$W$6=$B24))</f>
        <v>3709</v>
      </c>
      <c r="D24" s="394">
        <f>+SUMPRODUCT((요약!$O$7:$W$26)*(요약!$N$7:$N$26&lt;=D$18)*(요약!$O$6:$W$6=$B24))-SUM($C24:C24)</f>
        <v>3204</v>
      </c>
      <c r="E24" s="394">
        <f>+SUMPRODUCT((요약!$O$7:$W$26)*(요약!$N$7:$N$26&lt;=E$18)*(요약!$O$6:$W$6=$B24))-SUM($C24:D24)</f>
        <v>2681</v>
      </c>
      <c r="F24" s="394">
        <f>+SUMPRODUCT((요약!$O$7:$W$26)*(요약!$N$7:$N$26&lt;=F$18)*(요약!$O$6:$W$6=$B24))-SUM($C24:E24)</f>
        <v>3616</v>
      </c>
      <c r="G24" s="394">
        <f>+SUMPRODUCT((요약!$O$7:$W$26)*(요약!$N$7:$N$26&lt;=G$18)*(요약!$O$6:$W$6=$B24))-SUM($C24:F24)</f>
        <v>3539</v>
      </c>
      <c r="H24" s="394">
        <f>+SUMPRODUCT((요약!$O$7:$W$26)*(요약!$N$7:$N$26&lt;=H$18)*(요약!$O$6:$W$6=$B24))-SUM($C24:G24)</f>
        <v>4415</v>
      </c>
      <c r="I24" s="394">
        <f>+SUMPRODUCT((요약!$O$7:$W$26)*(요약!$N$7:$N$26&lt;=I$18)*(요약!$O$6:$W$6=$B24))-SUM($C24:H24)</f>
        <v>7438</v>
      </c>
      <c r="J24" s="488">
        <f>+SUMPRODUCT((요약!$O$7:$W$26)*(요약!$N$7:$N$26&lt;=J$18)*(요약!$O$6:$W$6=$B24))-SUM($C24:I24)</f>
        <v>0</v>
      </c>
      <c r="K24" s="488">
        <f>+SUMPRODUCT((요약!$O$7:$W$26)*(요약!$N$7:$N$26&lt;=K$18)*(요약!$O$6:$W$6=$B24))-SUM($C24:J24)</f>
        <v>0</v>
      </c>
      <c r="L24" s="488">
        <f>+SUMPRODUCT((요약!$O$7:$W$26)*(요약!$N$7:$N$26&lt;=L$18)*(요약!$O$6:$W$6=$B24))-SUM($C24:K24)</f>
        <v>0</v>
      </c>
      <c r="M24" s="392">
        <f t="shared" si="3"/>
        <v>28602</v>
      </c>
      <c r="N24" s="926" t="s">
        <v>153</v>
      </c>
      <c r="O24" s="927"/>
      <c r="P24" s="23">
        <f t="shared" si="4"/>
        <v>28602</v>
      </c>
    </row>
    <row r="25" spans="1:16" ht="28.5" customHeight="1" x14ac:dyDescent="0.25">
      <c r="A25" s="931"/>
      <c r="B25" s="267" t="s">
        <v>145</v>
      </c>
      <c r="C25" s="387">
        <f t="shared" ref="C25:I25" si="5">+AVERAGE(C19:C24)</f>
        <v>5895.666666666667</v>
      </c>
      <c r="D25" s="387">
        <f t="shared" si="5"/>
        <v>5597.5</v>
      </c>
      <c r="E25" s="387">
        <f t="shared" si="5"/>
        <v>5442.833333333333</v>
      </c>
      <c r="F25" s="387">
        <f t="shared" si="5"/>
        <v>3902.6666666666665</v>
      </c>
      <c r="G25" s="387">
        <f t="shared" si="5"/>
        <v>3479</v>
      </c>
      <c r="H25" s="387">
        <f t="shared" si="5"/>
        <v>3597.1666666666665</v>
      </c>
      <c r="I25" s="387">
        <f t="shared" si="5"/>
        <v>5194</v>
      </c>
      <c r="J25" s="489">
        <v>0</v>
      </c>
      <c r="K25" s="489">
        <v>0</v>
      </c>
      <c r="L25" s="489">
        <v>0</v>
      </c>
      <c r="M25" s="390">
        <f t="shared" si="3"/>
        <v>33108.833333333336</v>
      </c>
      <c r="N25" s="928"/>
      <c r="O25" s="929"/>
      <c r="P25" s="23">
        <f t="shared" si="4"/>
        <v>33108.833333333336</v>
      </c>
    </row>
    <row r="26" spans="1:16" ht="28.5" customHeight="1" x14ac:dyDescent="0.25">
      <c r="A26" s="932" t="s">
        <v>159</v>
      </c>
      <c r="B26" s="389" t="s">
        <v>5</v>
      </c>
      <c r="C26" s="387">
        <f>+SUMPRODUCT((요약!$O$7:$W$26)*(요약!$N$7:$N$26&lt;=C$18)*(요약!$O$6:$W$6=$B26))</f>
        <v>1713</v>
      </c>
      <c r="D26" s="387">
        <f>+SUMPRODUCT((요약!$O$7:$W$26)*(요약!$N$7:$N$26&lt;=D$18)*(요약!$O$6:$W$6=$B26))-SUM($C26:C26)</f>
        <v>1992</v>
      </c>
      <c r="E26" s="387">
        <f>+SUMPRODUCT((요약!$O$7:$W$26)*(요약!$N$7:$N$26&lt;=E$18)*(요약!$O$6:$W$6=$B26))-SUM($C26:D26)</f>
        <v>2131</v>
      </c>
      <c r="F26" s="387">
        <f>+SUMPRODUCT((요약!$O$7:$W$26)*(요약!$N$7:$N$26&lt;=F$18)*(요약!$O$6:$W$6=$B26))-SUM($C26:E26)</f>
        <v>1446</v>
      </c>
      <c r="G26" s="387">
        <f>+SUMPRODUCT((요약!$O$7:$W$26)*(요약!$N$7:$N$26&lt;=G$18)*(요약!$O$6:$W$6=$B26))-SUM($C26:F26)</f>
        <v>1944</v>
      </c>
      <c r="H26" s="387">
        <f>+SUMPRODUCT((요약!$O$7:$W$26)*(요약!$N$7:$N$26&lt;=H$18)*(요약!$O$6:$W$6=$B26))-SUM($C26:G26)</f>
        <v>4154</v>
      </c>
      <c r="I26" s="387">
        <f>+SUMPRODUCT((요약!$O$7:$W$26)*(요약!$N$7:$N$26&lt;=I$18)*(요약!$O$6:$W$6=$B26))-SUM($C26:H26)</f>
        <v>1753</v>
      </c>
      <c r="J26" s="489">
        <f>+SUMPRODUCT((요약!$O$7:$W$26)*(요약!$N$7:$N$26&lt;=J$18)*(요약!$O$6:$W$6=$B26))-SUM($C26:I26)</f>
        <v>0</v>
      </c>
      <c r="K26" s="489">
        <f>+SUMPRODUCT((요약!$O$7:$W$26)*(요약!$N$7:$N$26&lt;=K$18)*(요약!$O$6:$W$6=$B26))-SUM($C26:J26)</f>
        <v>0</v>
      </c>
      <c r="L26" s="489">
        <f>+SUMPRODUCT((요약!$O$7:$W$26)*(요약!$N$7:$N$26&lt;=L$18)*(요약!$O$6:$W$6=$B26))-SUM($C26:K26)</f>
        <v>0</v>
      </c>
      <c r="M26" s="390">
        <f t="shared" si="3"/>
        <v>15133</v>
      </c>
      <c r="N26" s="928" t="s">
        <v>179</v>
      </c>
      <c r="O26" s="929"/>
      <c r="P26" s="23">
        <f t="shared" si="4"/>
        <v>15133</v>
      </c>
    </row>
    <row r="27" spans="1:16" ht="28.5" customHeight="1" x14ac:dyDescent="0.25">
      <c r="A27" s="931"/>
      <c r="B27" s="391" t="s">
        <v>4</v>
      </c>
      <c r="C27" s="394">
        <f>+SUMPRODUCT((요약!$O$7:$W$26)*(요약!$N$7:$N$26&lt;=C$18)*(요약!$O$6:$W$6=$B27))</f>
        <v>2028</v>
      </c>
      <c r="D27" s="394">
        <f>+SUMPRODUCT((요약!$O$7:$W$26)*(요약!$N$7:$N$26&lt;=D$18)*(요약!$O$6:$W$6=$B27))-SUM($C27:C27)</f>
        <v>1929</v>
      </c>
      <c r="E27" s="394">
        <f>+SUMPRODUCT((요약!$O$7:$W$26)*(요약!$N$7:$N$26&lt;=E$18)*(요약!$O$6:$W$6=$B27))-SUM($C27:D27)</f>
        <v>2392</v>
      </c>
      <c r="F27" s="394">
        <f>+SUMPRODUCT((요약!$O$7:$W$26)*(요약!$N$7:$N$26&lt;=F$18)*(요약!$O$6:$W$6=$B27))-SUM($C27:E27)</f>
        <v>3543</v>
      </c>
      <c r="G27" s="394">
        <f>+SUMPRODUCT((요약!$O$7:$W$26)*(요약!$N$7:$N$26&lt;=G$18)*(요약!$O$6:$W$6=$B27))-SUM($C27:F27)</f>
        <v>3417</v>
      </c>
      <c r="H27" s="394">
        <f>+SUMPRODUCT((요약!$O$7:$W$26)*(요약!$N$7:$N$26&lt;=H$18)*(요약!$O$6:$W$6=$B27))-SUM($C27:G27)</f>
        <v>2596</v>
      </c>
      <c r="I27" s="394">
        <f>+SUMPRODUCT((요약!$O$7:$W$26)*(요약!$N$7:$N$26&lt;=I$18)*(요약!$O$6:$W$6=$B27))-SUM($C27:H27)</f>
        <v>5729</v>
      </c>
      <c r="J27" s="388">
        <f>+SUMPRODUCT((요약!$O$7:$W$26)*(요약!$N$7:$N$26&lt;=J$18)*(요약!$O$6:$W$6=$B27))-SUM($C27:I27)</f>
        <v>2991</v>
      </c>
      <c r="K27" s="488">
        <f>+SUMPRODUCT((요약!$O$7:$W$26)*(요약!$N$7:$N$26&lt;=K$18)*(요약!$O$6:$W$6=$B27))-SUM($C27:J27)</f>
        <v>0</v>
      </c>
      <c r="L27" s="488">
        <f>+SUMPRODUCT((요약!$O$7:$W$26)*(요약!$N$7:$N$26&lt;=L$18)*(요약!$O$6:$W$6=$B27))-SUM($C27:K27)</f>
        <v>0</v>
      </c>
      <c r="M27" s="392">
        <f t="shared" si="3"/>
        <v>24625</v>
      </c>
      <c r="N27" s="926" t="s">
        <v>179</v>
      </c>
      <c r="O27" s="927"/>
      <c r="P27" s="23">
        <f t="shared" si="4"/>
        <v>24625</v>
      </c>
    </row>
    <row r="28" spans="1:16" ht="28.5" customHeight="1" x14ac:dyDescent="0.25">
      <c r="A28" s="933"/>
      <c r="B28" s="500" t="s">
        <v>145</v>
      </c>
      <c r="C28" s="501">
        <f t="shared" ref="C28:L28" si="6">+AVERAGE(C26:C27)</f>
        <v>1870.5</v>
      </c>
      <c r="D28" s="501">
        <f t="shared" si="6"/>
        <v>1960.5</v>
      </c>
      <c r="E28" s="501">
        <f t="shared" si="6"/>
        <v>2261.5</v>
      </c>
      <c r="F28" s="501">
        <f t="shared" si="6"/>
        <v>2494.5</v>
      </c>
      <c r="G28" s="501">
        <f t="shared" si="6"/>
        <v>2680.5</v>
      </c>
      <c r="H28" s="501">
        <f t="shared" si="6"/>
        <v>3375</v>
      </c>
      <c r="I28" s="501">
        <f t="shared" si="6"/>
        <v>3741</v>
      </c>
      <c r="J28" s="501">
        <f t="shared" si="6"/>
        <v>1495.5</v>
      </c>
      <c r="K28" s="502">
        <f t="shared" si="6"/>
        <v>0</v>
      </c>
      <c r="L28" s="502">
        <f t="shared" si="6"/>
        <v>0</v>
      </c>
      <c r="M28" s="503">
        <f t="shared" si="3"/>
        <v>19879</v>
      </c>
      <c r="N28" s="920"/>
      <c r="O28" s="921"/>
    </row>
    <row r="29" spans="1:16" ht="28.5" customHeight="1" x14ac:dyDescent="0.25">
      <c r="A29" s="429" t="s">
        <v>15</v>
      </c>
      <c r="B29" s="430"/>
      <c r="C29" s="431">
        <f>+IF(C17="완료",SUMPRODUCT((요약!$O$7:$W$26)*(요약!$N$7:$N$26&lt;=C$18)*(요약!$O$6:$W$6=$A29)),0)</f>
        <v>3371</v>
      </c>
      <c r="D29" s="484">
        <f>+IF(D17="완료",SUMPRODUCT((요약!$O$7:$W$26)*(요약!$N$7:$N$26&lt;=D$18)*(요약!$O$6:$W$6=$A29)),0)</f>
        <v>5959</v>
      </c>
      <c r="E29" s="484">
        <f>+IF(E17="완료",SUMPRODUCT((요약!$O$7:$W$26)*(요약!$N$7:$N$26&lt;=E$18)*(요약!$O$6:$W$6=$A29)),0)</f>
        <v>7186</v>
      </c>
      <c r="F29" s="484">
        <f>+IF(F17="완료",SUMPRODUCT((요약!$O$7:$W$26)*(요약!$N$7:$N$26&lt;=F$18)*(요약!$O$6:$W$6=$A29)),0)</f>
        <v>0</v>
      </c>
      <c r="G29" s="484">
        <f>+IF(G17="완료",SUMPRODUCT((요약!$O$7:$W$26)*(요약!$N$7:$N$26&lt;=G$18)*(요약!$O$6:$W$6=$A29)),0)</f>
        <v>0</v>
      </c>
      <c r="H29" s="484">
        <f>+IF(H17="완료",SUMPRODUCT((요약!$O$7:$W$26)*(요약!$N$7:$N$26&lt;=H$18)*(요약!$O$6:$W$6=$A29)),0)</f>
        <v>0</v>
      </c>
      <c r="I29" s="484">
        <f>+IF(I17="완료",SUMPRODUCT((요약!$O$7:$W$26)*(요약!$N$7:$N$26&lt;=I$18)*(요약!$O$6:$W$6=$A29)),0)</f>
        <v>0</v>
      </c>
      <c r="J29" s="484">
        <f>+IF(J17="완료",SUMPRODUCT((요약!$O$7:$W$26)*(요약!$N$7:$N$26&lt;=J$18)*(요약!$O$6:$W$6=$A29)),0)</f>
        <v>0</v>
      </c>
      <c r="K29" s="484">
        <f>+IF(K17="완료",SUMPRODUCT((요약!$O$7:$W$26)*(요약!$N$7:$N$26&lt;=K$18)*(요약!$O$6:$W$6=$A29)),0)</f>
        <v>0</v>
      </c>
      <c r="L29" s="484">
        <f>+IF(L17="완료",SUMPRODUCT((요약!$O$7:$W$26)*(요약!$N$7:$N$26&lt;=L$18)*(요약!$O$6:$W$6=$A29)),0)</f>
        <v>0</v>
      </c>
      <c r="M29" s="432">
        <f t="shared" si="3"/>
        <v>16516</v>
      </c>
      <c r="N29" s="916"/>
      <c r="O29" s="917"/>
    </row>
    <row r="30" spans="1:16" ht="28.5" customHeight="1" x14ac:dyDescent="0.25">
      <c r="A30" s="422"/>
      <c r="B30" s="382" t="s">
        <v>173</v>
      </c>
      <c r="C30" s="386">
        <f t="shared" ref="C30:L30" si="7">+IF(C29=0,0,C29-C28)</f>
        <v>1500.5</v>
      </c>
      <c r="D30" s="485">
        <f t="shared" si="7"/>
        <v>3998.5</v>
      </c>
      <c r="E30" s="485">
        <f t="shared" si="7"/>
        <v>4924.5</v>
      </c>
      <c r="F30" s="485">
        <f t="shared" si="7"/>
        <v>0</v>
      </c>
      <c r="G30" s="485">
        <f t="shared" si="7"/>
        <v>0</v>
      </c>
      <c r="H30" s="485">
        <f t="shared" si="7"/>
        <v>0</v>
      </c>
      <c r="I30" s="485">
        <f t="shared" si="7"/>
        <v>0</v>
      </c>
      <c r="J30" s="485">
        <f t="shared" si="7"/>
        <v>0</v>
      </c>
      <c r="K30" s="485">
        <f t="shared" si="7"/>
        <v>0</v>
      </c>
      <c r="L30" s="485">
        <f t="shared" si="7"/>
        <v>0</v>
      </c>
      <c r="M30" s="386">
        <f t="shared" si="3"/>
        <v>10423.5</v>
      </c>
      <c r="N30" s="918"/>
      <c r="O30" s="919"/>
    </row>
    <row r="31" spans="1:16" ht="28.5" customHeight="1" x14ac:dyDescent="0.25">
      <c r="A31" s="186"/>
      <c r="B31" s="433" t="s">
        <v>174</v>
      </c>
      <c r="C31" s="434">
        <f t="shared" ref="C31:L31" si="8">+IF(C29=0,0,C29-C25)</f>
        <v>-2524.666666666667</v>
      </c>
      <c r="D31" s="486">
        <f t="shared" si="8"/>
        <v>361.5</v>
      </c>
      <c r="E31" s="486">
        <f t="shared" si="8"/>
        <v>1743.166666666667</v>
      </c>
      <c r="F31" s="486">
        <f t="shared" si="8"/>
        <v>0</v>
      </c>
      <c r="G31" s="486">
        <f t="shared" si="8"/>
        <v>0</v>
      </c>
      <c r="H31" s="486">
        <f t="shared" si="8"/>
        <v>0</v>
      </c>
      <c r="I31" s="486">
        <f t="shared" si="8"/>
        <v>0</v>
      </c>
      <c r="J31" s="486">
        <f t="shared" si="8"/>
        <v>0</v>
      </c>
      <c r="K31" s="486">
        <f t="shared" si="8"/>
        <v>0</v>
      </c>
      <c r="L31" s="486">
        <f t="shared" si="8"/>
        <v>0</v>
      </c>
      <c r="M31" s="434">
        <f t="shared" si="3"/>
        <v>-420</v>
      </c>
      <c r="N31" s="920"/>
      <c r="O31" s="921"/>
    </row>
    <row r="32" spans="1:16" ht="12" customHeight="1" x14ac:dyDescent="0.25"/>
    <row r="33" spans="1:15" ht="31.5" customHeight="1" x14ac:dyDescent="0.25">
      <c r="A33" s="419" t="s">
        <v>176</v>
      </c>
      <c r="M33" s="423" t="s">
        <v>167</v>
      </c>
      <c r="N33" s="423" t="s">
        <v>168</v>
      </c>
      <c r="O33" s="421" t="s">
        <v>157</v>
      </c>
    </row>
    <row r="34" spans="1:15" ht="31.5" customHeight="1" x14ac:dyDescent="0.25">
      <c r="A34" s="461" t="s">
        <v>163</v>
      </c>
      <c r="B34" s="462"/>
      <c r="C34" s="463">
        <v>2</v>
      </c>
      <c r="D34" s="463">
        <f t="shared" ref="D34:L34" si="9">+C34+2</f>
        <v>4</v>
      </c>
      <c r="E34" s="463">
        <f t="shared" si="9"/>
        <v>6</v>
      </c>
      <c r="F34" s="463">
        <f t="shared" si="9"/>
        <v>8</v>
      </c>
      <c r="G34" s="463">
        <f t="shared" si="9"/>
        <v>10</v>
      </c>
      <c r="H34" s="463">
        <f t="shared" si="9"/>
        <v>12</v>
      </c>
      <c r="I34" s="464">
        <f t="shared" si="9"/>
        <v>14</v>
      </c>
      <c r="J34" s="465">
        <f t="shared" si="9"/>
        <v>16</v>
      </c>
      <c r="K34" s="463">
        <f t="shared" si="9"/>
        <v>18</v>
      </c>
      <c r="L34" s="464">
        <f t="shared" si="9"/>
        <v>20</v>
      </c>
      <c r="M34" s="465" t="s">
        <v>165</v>
      </c>
      <c r="N34" s="463" t="s">
        <v>166</v>
      </c>
      <c r="O34" s="466" t="s">
        <v>169</v>
      </c>
    </row>
    <row r="35" spans="1:15" ht="31.5" customHeight="1" x14ac:dyDescent="0.25">
      <c r="A35" s="452" t="s">
        <v>155</v>
      </c>
      <c r="B35" s="402"/>
      <c r="C35" s="447">
        <f t="shared" ref="C35:L35" si="10">+SUMIFS(C$19:C$28,$N$19:$N$28,$A35)</f>
        <v>12363</v>
      </c>
      <c r="D35" s="447">
        <f t="shared" si="10"/>
        <v>12269</v>
      </c>
      <c r="E35" s="447">
        <f t="shared" si="10"/>
        <v>11149</v>
      </c>
      <c r="F35" s="447">
        <f t="shared" si="10"/>
        <v>7117</v>
      </c>
      <c r="G35" s="447">
        <f t="shared" si="10"/>
        <v>7555</v>
      </c>
      <c r="H35" s="447">
        <f t="shared" si="10"/>
        <v>6861</v>
      </c>
      <c r="I35" s="505">
        <f t="shared" si="10"/>
        <v>8530</v>
      </c>
      <c r="J35" s="455">
        <f t="shared" si="10"/>
        <v>1893</v>
      </c>
      <c r="K35" s="453">
        <f t="shared" si="10"/>
        <v>0</v>
      </c>
      <c r="L35" s="454">
        <f t="shared" si="10"/>
        <v>0</v>
      </c>
      <c r="M35" s="455">
        <f>+SUM(C35:F35)</f>
        <v>42898</v>
      </c>
      <c r="N35" s="447">
        <f>+SUM(G35:L35)</f>
        <v>24839</v>
      </c>
      <c r="O35" s="456">
        <f>+N35-M35</f>
        <v>-18059</v>
      </c>
    </row>
    <row r="36" spans="1:15" ht="31.5" customHeight="1" x14ac:dyDescent="0.25">
      <c r="A36" s="427"/>
      <c r="B36" s="495" t="s">
        <v>161</v>
      </c>
      <c r="C36" s="496">
        <f t="shared" ref="C36:H36" si="11">+C35/$C35</f>
        <v>1</v>
      </c>
      <c r="D36" s="496">
        <f t="shared" si="11"/>
        <v>0.99239666747553179</v>
      </c>
      <c r="E36" s="496">
        <f t="shared" si="11"/>
        <v>0.90180376931165573</v>
      </c>
      <c r="F36" s="496">
        <f t="shared" si="11"/>
        <v>0.57566933592170189</v>
      </c>
      <c r="G36" s="496">
        <f t="shared" si="11"/>
        <v>0.61109763002507478</v>
      </c>
      <c r="H36" s="496">
        <f t="shared" si="11"/>
        <v>0.55496238776995876</v>
      </c>
      <c r="I36" s="511">
        <f>+AVERAGE(I35:J35)/$C35</f>
        <v>0.42154007926878589</v>
      </c>
      <c r="J36" s="506">
        <f>+J35/$C35</f>
        <v>0.15311817520019413</v>
      </c>
      <c r="K36" s="399"/>
      <c r="L36" s="403"/>
      <c r="M36" s="406"/>
      <c r="N36" s="400"/>
      <c r="O36" s="520">
        <f>+O35/M35</f>
        <v>-0.42097533684554056</v>
      </c>
    </row>
    <row r="37" spans="1:15" ht="31.5" customHeight="1" x14ac:dyDescent="0.25">
      <c r="A37" s="425" t="s">
        <v>153</v>
      </c>
      <c r="B37" s="401"/>
      <c r="C37" s="396">
        <f t="shared" ref="C37:L37" si="12">+SUMIFS(C$19:C$28,$N$19:$N$28,$A37)</f>
        <v>19138</v>
      </c>
      <c r="D37" s="396">
        <f t="shared" si="12"/>
        <v>16886</v>
      </c>
      <c r="E37" s="396">
        <f t="shared" si="12"/>
        <v>16916</v>
      </c>
      <c r="F37" s="396">
        <f t="shared" si="12"/>
        <v>13435</v>
      </c>
      <c r="G37" s="396">
        <f t="shared" si="12"/>
        <v>9614</v>
      </c>
      <c r="H37" s="396">
        <f t="shared" si="12"/>
        <v>11209</v>
      </c>
      <c r="I37" s="404">
        <f t="shared" si="12"/>
        <v>16886</v>
      </c>
      <c r="J37" s="405">
        <f t="shared" si="12"/>
        <v>10211</v>
      </c>
      <c r="K37" s="396">
        <f t="shared" si="12"/>
        <v>18209</v>
      </c>
      <c r="L37" s="404">
        <f t="shared" si="12"/>
        <v>13232</v>
      </c>
      <c r="M37" s="405">
        <f>+SUM(C37:F37)</f>
        <v>66375</v>
      </c>
      <c r="N37" s="396">
        <f>+SUM(G37:L37)</f>
        <v>79361</v>
      </c>
      <c r="O37" s="426">
        <f>+N37-M37</f>
        <v>12986</v>
      </c>
    </row>
    <row r="38" spans="1:15" ht="31.5" customHeight="1" x14ac:dyDescent="0.25">
      <c r="A38" s="427"/>
      <c r="B38" s="495" t="s">
        <v>161</v>
      </c>
      <c r="C38" s="496">
        <f t="shared" ref="C38:H38" si="13">+C37/$C37</f>
        <v>1</v>
      </c>
      <c r="D38" s="496">
        <f t="shared" si="13"/>
        <v>0.88232835196990278</v>
      </c>
      <c r="E38" s="496">
        <f t="shared" si="13"/>
        <v>0.88389591388859856</v>
      </c>
      <c r="F38" s="496">
        <f t="shared" si="13"/>
        <v>0.70200647925593063</v>
      </c>
      <c r="G38" s="496">
        <f t="shared" si="13"/>
        <v>0.50235134287804373</v>
      </c>
      <c r="H38" s="496">
        <f t="shared" si="13"/>
        <v>0.58569338488870315</v>
      </c>
      <c r="I38" s="511">
        <f>+SUM(I37:L37)/$C37</f>
        <v>3.0587313198871358</v>
      </c>
      <c r="J38" s="506">
        <f>+J37/$C19</f>
        <v>0.75280153347095247</v>
      </c>
      <c r="K38" s="496">
        <f>+K37/$C19</f>
        <v>1.3424506045414333</v>
      </c>
      <c r="L38" s="499">
        <f>+L37/$C19</f>
        <v>0.97552344441167793</v>
      </c>
      <c r="M38" s="406"/>
      <c r="N38" s="400"/>
      <c r="O38" s="520">
        <f>+O37/M37</f>
        <v>0.19564595103578156</v>
      </c>
    </row>
    <row r="39" spans="1:15" ht="31.5" customHeight="1" x14ac:dyDescent="0.25">
      <c r="A39" s="425" t="s">
        <v>156</v>
      </c>
      <c r="B39" s="401"/>
      <c r="C39" s="396">
        <f t="shared" ref="C39:I39" si="14">+SUMIFS(C$19:C$28,$N$19:$N$28,$A39)</f>
        <v>3873</v>
      </c>
      <c r="D39" s="396">
        <f t="shared" si="14"/>
        <v>4430</v>
      </c>
      <c r="E39" s="396">
        <f t="shared" si="14"/>
        <v>4592</v>
      </c>
      <c r="F39" s="396">
        <f t="shared" si="14"/>
        <v>2864</v>
      </c>
      <c r="G39" s="396">
        <f t="shared" si="14"/>
        <v>3705</v>
      </c>
      <c r="H39" s="396">
        <f t="shared" si="14"/>
        <v>3513</v>
      </c>
      <c r="I39" s="404">
        <f t="shared" si="14"/>
        <v>5748</v>
      </c>
      <c r="J39" s="507"/>
      <c r="K39" s="399"/>
      <c r="L39" s="403"/>
      <c r="M39" s="405">
        <f>+SUM(C39:F39)</f>
        <v>15759</v>
      </c>
      <c r="N39" s="396">
        <f>+SUM(G39:L39)</f>
        <v>12966</v>
      </c>
      <c r="O39" s="426">
        <f>+N39-M39</f>
        <v>-2793</v>
      </c>
    </row>
    <row r="40" spans="1:15" ht="31.5" customHeight="1" x14ac:dyDescent="0.25">
      <c r="A40" s="427"/>
      <c r="B40" s="495" t="s">
        <v>161</v>
      </c>
      <c r="C40" s="496">
        <f t="shared" ref="C40:I40" si="15">+C39/$C39</f>
        <v>1</v>
      </c>
      <c r="D40" s="496">
        <f t="shared" si="15"/>
        <v>1.1438161631809967</v>
      </c>
      <c r="E40" s="496">
        <f t="shared" si="15"/>
        <v>1.1856442034598502</v>
      </c>
      <c r="F40" s="496">
        <f t="shared" si="15"/>
        <v>0.73947844048541178</v>
      </c>
      <c r="G40" s="496">
        <f t="shared" si="15"/>
        <v>0.95662277304415178</v>
      </c>
      <c r="H40" s="496">
        <f t="shared" si="15"/>
        <v>0.90704879938032534</v>
      </c>
      <c r="I40" s="499">
        <f t="shared" si="15"/>
        <v>1.4841208365608056</v>
      </c>
      <c r="J40" s="406"/>
      <c r="K40" s="399"/>
      <c r="L40" s="403"/>
      <c r="M40" s="406"/>
      <c r="N40" s="400"/>
      <c r="O40" s="520">
        <f>+O39/M39</f>
        <v>-0.17723205787169236</v>
      </c>
    </row>
    <row r="41" spans="1:15" ht="31.5" customHeight="1" x14ac:dyDescent="0.25">
      <c r="A41" s="425" t="s">
        <v>180</v>
      </c>
      <c r="B41" s="401"/>
      <c r="C41" s="396">
        <f t="shared" ref="C41:J41" si="16">+C28</f>
        <v>1870.5</v>
      </c>
      <c r="D41" s="396">
        <f t="shared" si="16"/>
        <v>1960.5</v>
      </c>
      <c r="E41" s="396">
        <f t="shared" si="16"/>
        <v>2261.5</v>
      </c>
      <c r="F41" s="396">
        <f t="shared" si="16"/>
        <v>2494.5</v>
      </c>
      <c r="G41" s="396">
        <f t="shared" si="16"/>
        <v>2680.5</v>
      </c>
      <c r="H41" s="396">
        <f t="shared" si="16"/>
        <v>3375</v>
      </c>
      <c r="I41" s="404">
        <f t="shared" si="16"/>
        <v>3741</v>
      </c>
      <c r="J41" s="405">
        <f t="shared" si="16"/>
        <v>1495.5</v>
      </c>
      <c r="K41" s="399"/>
      <c r="L41" s="403"/>
      <c r="M41" s="405">
        <f>+SUM(C41:F41)</f>
        <v>8587</v>
      </c>
      <c r="N41" s="396">
        <f>+SUM(G41:L41)</f>
        <v>11292</v>
      </c>
      <c r="O41" s="426">
        <f>+N41-M41</f>
        <v>2705</v>
      </c>
    </row>
    <row r="42" spans="1:15" ht="31.5" customHeight="1" x14ac:dyDescent="0.25">
      <c r="A42" s="435"/>
      <c r="B42" s="497" t="s">
        <v>161</v>
      </c>
      <c r="C42" s="498">
        <f t="shared" ref="C42:J42" si="17">+C41/$C$41</f>
        <v>1</v>
      </c>
      <c r="D42" s="498">
        <f t="shared" si="17"/>
        <v>1.0481154771451484</v>
      </c>
      <c r="E42" s="498">
        <f t="shared" si="17"/>
        <v>1.2090350173750335</v>
      </c>
      <c r="F42" s="498">
        <f t="shared" si="17"/>
        <v>1.3336006415396953</v>
      </c>
      <c r="G42" s="498">
        <f t="shared" si="17"/>
        <v>1.4330392943063353</v>
      </c>
      <c r="H42" s="498">
        <f t="shared" si="17"/>
        <v>1.8043303929430634</v>
      </c>
      <c r="I42" s="512">
        <f t="shared" si="17"/>
        <v>2</v>
      </c>
      <c r="J42" s="508">
        <f t="shared" si="17"/>
        <v>0.79951884522854855</v>
      </c>
      <c r="K42" s="436"/>
      <c r="L42" s="437"/>
      <c r="M42" s="438"/>
      <c r="N42" s="439"/>
      <c r="O42" s="521">
        <f>+O41/M41</f>
        <v>0.31501106323512285</v>
      </c>
    </row>
    <row r="43" spans="1:15" ht="12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31.5" customHeight="1" x14ac:dyDescent="0.25">
      <c r="A44" s="419" t="s">
        <v>177</v>
      </c>
      <c r="C44" s="423" t="s">
        <v>171</v>
      </c>
      <c r="D44" s="491" t="s">
        <v>172</v>
      </c>
      <c r="E44" s="492" t="s">
        <v>172</v>
      </c>
      <c r="F44" s="492" t="s">
        <v>172</v>
      </c>
      <c r="G44" s="492" t="s">
        <v>172</v>
      </c>
      <c r="H44" s="492" t="s">
        <v>172</v>
      </c>
      <c r="I44" s="492" t="s">
        <v>172</v>
      </c>
      <c r="L44" s="423" t="s">
        <v>164</v>
      </c>
      <c r="O44" s="428" t="s">
        <v>175</v>
      </c>
    </row>
    <row r="45" spans="1:15" ht="31.5" customHeight="1" x14ac:dyDescent="0.25">
      <c r="A45" s="461" t="s">
        <v>163</v>
      </c>
      <c r="B45" s="462"/>
      <c r="C45" s="463">
        <v>2</v>
      </c>
      <c r="D45" s="463">
        <f t="shared" ref="D45:I45" si="18">+C45+2</f>
        <v>4</v>
      </c>
      <c r="E45" s="463">
        <f t="shared" si="18"/>
        <v>6</v>
      </c>
      <c r="F45" s="463">
        <f t="shared" si="18"/>
        <v>8</v>
      </c>
      <c r="G45" s="463">
        <f t="shared" si="18"/>
        <v>10</v>
      </c>
      <c r="H45" s="463">
        <f t="shared" si="18"/>
        <v>12</v>
      </c>
      <c r="I45" s="504">
        <f t="shared" si="18"/>
        <v>14</v>
      </c>
      <c r="J45" s="463" t="s">
        <v>182</v>
      </c>
      <c r="K45" s="463" t="s">
        <v>116</v>
      </c>
      <c r="L45" s="467">
        <f ca="1">+일자별요약v2!J8</f>
        <v>208.35555555555555</v>
      </c>
      <c r="M45" s="468" t="s">
        <v>170</v>
      </c>
      <c r="N45" s="468"/>
      <c r="O45" s="469"/>
    </row>
    <row r="46" spans="1:15" ht="31.5" customHeight="1" x14ac:dyDescent="0.25">
      <c r="A46" s="427" t="s">
        <v>154</v>
      </c>
      <c r="B46" s="402"/>
      <c r="C46" s="447">
        <f>+C29</f>
        <v>3371</v>
      </c>
      <c r="D46" s="447">
        <f t="shared" ref="D46:I46" si="19">+$C46*D36</f>
        <v>3345.3691660600175</v>
      </c>
      <c r="E46" s="447">
        <f t="shared" si="19"/>
        <v>3039.9805063495915</v>
      </c>
      <c r="F46" s="447">
        <f t="shared" si="19"/>
        <v>1940.5813313920571</v>
      </c>
      <c r="G46" s="447">
        <f t="shared" si="19"/>
        <v>2060.0101108145273</v>
      </c>
      <c r="H46" s="447">
        <f t="shared" si="19"/>
        <v>1870.778209172531</v>
      </c>
      <c r="I46" s="447">
        <f t="shared" si="19"/>
        <v>1421.0116072150772</v>
      </c>
      <c r="J46" s="509">
        <f>+SUM(C46:I46)</f>
        <v>17048.730931003804</v>
      </c>
      <c r="K46" s="448">
        <f>+J46/$J$7</f>
        <v>183.31968743014843</v>
      </c>
      <c r="L46" s="449">
        <f ca="1">+K46-일자별요약v2!$J$8</f>
        <v>-25.03586812540712</v>
      </c>
      <c r="M46" s="450" t="s">
        <v>188</v>
      </c>
      <c r="N46" s="451"/>
      <c r="O46" s="451"/>
    </row>
    <row r="47" spans="1:15" ht="31.5" customHeight="1" x14ac:dyDescent="0.25">
      <c r="A47" s="424" t="s">
        <v>160</v>
      </c>
      <c r="B47" s="401"/>
      <c r="C47" s="396">
        <f>+C46</f>
        <v>3371</v>
      </c>
      <c r="D47" s="396">
        <f>+$C47*D38</f>
        <v>2974.3288744905421</v>
      </c>
      <c r="E47" s="396">
        <f>+$C47*E38</f>
        <v>2979.6131257184657</v>
      </c>
      <c r="F47" s="396">
        <f>+$C47*F38</f>
        <v>2366.4638415717423</v>
      </c>
      <c r="G47" s="396">
        <f>+$C47*G38</f>
        <v>1693.4263768418855</v>
      </c>
      <c r="H47" s="396">
        <f>+$C47*H38</f>
        <v>1974.3724004598182</v>
      </c>
      <c r="I47" s="396">
        <f>+$C47*$I$38</f>
        <v>10310.983279339534</v>
      </c>
      <c r="J47" s="10">
        <f>+SUM(C47:I47)</f>
        <v>25670.187898421987</v>
      </c>
      <c r="K47" s="397">
        <f>+J47/$J$7</f>
        <v>276.02352578948376</v>
      </c>
      <c r="L47" s="398">
        <f ca="1">+K47-일자별요약v2!$J$8</f>
        <v>67.667970233928202</v>
      </c>
      <c r="M47" s="407" t="s">
        <v>188</v>
      </c>
      <c r="N47" s="408"/>
      <c r="O47" s="408"/>
    </row>
    <row r="48" spans="1:15" ht="31.5" customHeight="1" x14ac:dyDescent="0.25">
      <c r="A48" s="424" t="s">
        <v>162</v>
      </c>
      <c r="B48" s="401"/>
      <c r="C48" s="396">
        <f>+C47</f>
        <v>3371</v>
      </c>
      <c r="D48" s="396">
        <f t="shared" ref="D48:I48" si="20">+$C48*D40</f>
        <v>3855.8042860831397</v>
      </c>
      <c r="E48" s="396">
        <f t="shared" si="20"/>
        <v>3996.8066098631552</v>
      </c>
      <c r="F48" s="396">
        <f t="shared" si="20"/>
        <v>2492.7818228763231</v>
      </c>
      <c r="G48" s="396">
        <f t="shared" si="20"/>
        <v>3224.7753679318357</v>
      </c>
      <c r="H48" s="396">
        <f t="shared" si="20"/>
        <v>3057.6615027110765</v>
      </c>
      <c r="I48" s="396">
        <f t="shared" si="20"/>
        <v>5002.9713400464761</v>
      </c>
      <c r="J48" s="10">
        <f>+SUM(C48:I48)</f>
        <v>25001.800929512006</v>
      </c>
      <c r="K48" s="397">
        <f>+J48/$J$7</f>
        <v>268.83656913453768</v>
      </c>
      <c r="L48" s="398">
        <f ca="1">+K48-일자별요약v2!$J$8</f>
        <v>60.481013578982129</v>
      </c>
      <c r="M48" s="407" t="s">
        <v>188</v>
      </c>
      <c r="N48" s="408"/>
      <c r="O48" s="408"/>
    </row>
    <row r="49" spans="1:15" ht="31.5" customHeight="1" x14ac:dyDescent="0.25">
      <c r="A49" s="440" t="s">
        <v>181</v>
      </c>
      <c r="B49" s="441"/>
      <c r="C49" s="442">
        <f>+C48</f>
        <v>3371</v>
      </c>
      <c r="D49" s="442">
        <f t="shared" ref="D49:I49" si="21">+D42*$C49</f>
        <v>3533.1972734562951</v>
      </c>
      <c r="E49" s="442">
        <f t="shared" si="21"/>
        <v>4075.6570435712379</v>
      </c>
      <c r="F49" s="442">
        <f t="shared" si="21"/>
        <v>4495.5677626303132</v>
      </c>
      <c r="G49" s="442">
        <f t="shared" si="21"/>
        <v>4830.7754611066557</v>
      </c>
      <c r="H49" s="442">
        <f t="shared" si="21"/>
        <v>6082.3977546110664</v>
      </c>
      <c r="I49" s="442">
        <f t="shared" si="21"/>
        <v>6742</v>
      </c>
      <c r="J49" s="510">
        <f>+SUM(C49:I49)</f>
        <v>33130.595295375562</v>
      </c>
      <c r="K49" s="443">
        <f>+J49/$J$7</f>
        <v>356.24296016532861</v>
      </c>
      <c r="L49" s="444">
        <f ca="1">+K49-일자별요약v2!$J$8</f>
        <v>147.88740460977306</v>
      </c>
      <c r="M49" s="445" t="s">
        <v>188</v>
      </c>
      <c r="N49" s="446"/>
      <c r="O49" s="446"/>
    </row>
  </sheetData>
  <mergeCells count="21">
    <mergeCell ref="A19:A25"/>
    <mergeCell ref="A26:A28"/>
    <mergeCell ref="A5:C6"/>
    <mergeCell ref="N28:O28"/>
    <mergeCell ref="D11:G11"/>
    <mergeCell ref="H11:K11"/>
    <mergeCell ref="L11:O11"/>
    <mergeCell ref="O5:O6"/>
    <mergeCell ref="N29:O29"/>
    <mergeCell ref="N30:O30"/>
    <mergeCell ref="N31:O31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</mergeCells>
  <phoneticPr fontId="2" type="noConversion"/>
  <conditionalFormatting sqref="C19:L19">
    <cfRule type="aboveAverage" dxfId="38" priority="8"/>
  </conditionalFormatting>
  <conditionalFormatting sqref="C20:J20">
    <cfRule type="aboveAverage" dxfId="37" priority="7"/>
  </conditionalFormatting>
  <conditionalFormatting sqref="C21:J21">
    <cfRule type="aboveAverage" dxfId="36" priority="6"/>
  </conditionalFormatting>
  <conditionalFormatting sqref="C22:I22">
    <cfRule type="aboveAverage" dxfId="35" priority="5"/>
  </conditionalFormatting>
  <conditionalFormatting sqref="C23:I23">
    <cfRule type="aboveAverage" dxfId="34" priority="4"/>
  </conditionalFormatting>
  <conditionalFormatting sqref="C24:I24">
    <cfRule type="aboveAverage" dxfId="33" priority="3"/>
  </conditionalFormatting>
  <conditionalFormatting sqref="C26:I26">
    <cfRule type="aboveAverage" dxfId="32" priority="2"/>
  </conditionalFormatting>
  <conditionalFormatting sqref="C27:I27">
    <cfRule type="aboveAverage" dxfId="31" priority="1"/>
  </conditionalFormatting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76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주차별보고!C26:I26</xm:f>
              <xm:sqref>N26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주차별보고!C24:I24</xm:f>
              <xm:sqref>N24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주차별보고!C20:J20</xm:f>
              <xm:sqref>N20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주차별보고!C22:I22</xm:f>
              <xm:sqref>N22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7" tint="-0.499984740745262"/>
          <x14:colorLow rgb="FFD00000"/>
          <x14:sparklines>
            <x14:sparkline>
              <xm:f>주차별보고!C19:L19</xm:f>
              <xm:sqref>N19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주차별보고!C23:I23</xm:f>
              <xm:sqref>N23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주차별보고!C21:J21</xm:f>
              <xm:sqref>N21</xm:sqref>
            </x14:sparkline>
          </x14:sparklines>
        </x14:sparklineGroup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rgb="FFD00000"/>
          <x14:sparklines>
            <x14:sparkline>
              <xm:f>주차별보고!C27:J27</xm:f>
              <xm:sqref>N27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-0.249977111117893"/>
    <pageSetUpPr fitToPage="1"/>
  </sheetPr>
  <dimension ref="A1:AH33"/>
  <sheetViews>
    <sheetView showGridLines="0" view="pageBreakPreview" topLeftCell="A28" zoomScale="70" zoomScaleNormal="100" zoomScaleSheetLayoutView="70" workbookViewId="0">
      <selection activeCell="C20" sqref="C20:E31"/>
    </sheetView>
  </sheetViews>
  <sheetFormatPr defaultRowHeight="42.75" customHeight="1" x14ac:dyDescent="0.25"/>
  <cols>
    <col min="1" max="13" width="10.5703125" style="128" customWidth="1"/>
    <col min="14" max="23" width="10.5703125" customWidth="1"/>
  </cols>
  <sheetData>
    <row r="1" spans="1:34" ht="105.75" customHeight="1" x14ac:dyDescent="0.25">
      <c r="A1" s="833" t="s">
        <v>290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831"/>
      <c r="R1" s="831"/>
      <c r="S1" s="831"/>
      <c r="T1" s="831"/>
      <c r="U1" s="831"/>
      <c r="V1" s="831"/>
      <c r="W1" s="831"/>
    </row>
    <row r="2" spans="1:34" ht="28.5" customHeight="1" x14ac:dyDescent="0.35">
      <c r="A2" s="830"/>
      <c r="B2" s="831"/>
      <c r="C2" s="831"/>
      <c r="D2" s="831"/>
      <c r="E2" s="831"/>
      <c r="F2" s="831"/>
      <c r="G2" s="831"/>
      <c r="H2" s="831"/>
      <c r="I2" s="831"/>
      <c r="J2" s="831"/>
      <c r="K2" s="831"/>
      <c r="L2" s="831"/>
      <c r="M2" s="831"/>
      <c r="N2" s="831"/>
      <c r="O2" s="831"/>
      <c r="P2" s="831"/>
      <c r="Q2" s="831"/>
      <c r="R2" s="831"/>
      <c r="S2" s="831"/>
      <c r="T2" s="831"/>
      <c r="U2" s="943">
        <f>+일자별요약v2!$N$1</f>
        <v>45390</v>
      </c>
      <c r="V2" s="943"/>
      <c r="W2" s="943"/>
      <c r="X2" s="831"/>
    </row>
    <row r="3" spans="1:34" ht="53.25" customHeight="1" x14ac:dyDescent="0.25">
      <c r="A3" s="832"/>
      <c r="B3" s="832"/>
      <c r="C3" s="832"/>
      <c r="D3" s="832"/>
      <c r="E3" s="832"/>
      <c r="F3" s="832"/>
      <c r="G3" s="832"/>
      <c r="H3" s="832"/>
      <c r="I3" s="832"/>
      <c r="J3" s="832"/>
      <c r="K3" s="832"/>
      <c r="L3" s="832"/>
      <c r="M3" s="832"/>
      <c r="N3" s="832"/>
      <c r="O3" s="832"/>
      <c r="P3" s="832"/>
      <c r="Q3" s="832"/>
      <c r="R3" s="832"/>
      <c r="S3" s="832"/>
      <c r="T3" s="832"/>
      <c r="U3" s="832"/>
      <c r="V3" s="832"/>
      <c r="W3" s="832"/>
      <c r="X3" s="832"/>
    </row>
    <row r="4" spans="1:34" ht="49.5" customHeight="1" x14ac:dyDescent="0.25">
      <c r="A4" s="832"/>
      <c r="B4" s="832"/>
      <c r="C4" s="832"/>
      <c r="D4" s="832"/>
      <c r="E4" s="832"/>
      <c r="F4" s="832"/>
      <c r="G4" s="832"/>
      <c r="H4" s="832"/>
      <c r="I4" s="832"/>
      <c r="J4" s="832"/>
      <c r="K4" s="832"/>
      <c r="L4" s="832"/>
      <c r="M4" s="832"/>
      <c r="N4" s="832"/>
      <c r="O4" s="832"/>
      <c r="P4" s="832"/>
      <c r="Q4" s="832"/>
      <c r="R4" s="832"/>
      <c r="S4" s="832"/>
      <c r="T4" s="832"/>
      <c r="U4" s="832"/>
      <c r="V4" s="832"/>
      <c r="W4" s="832"/>
      <c r="X4" s="832"/>
    </row>
    <row r="5" spans="1:34" ht="49.5" customHeight="1" x14ac:dyDescent="0.25">
      <c r="A5" s="832"/>
      <c r="B5" s="832"/>
      <c r="C5" s="832"/>
      <c r="D5" s="832"/>
      <c r="E5" s="832"/>
      <c r="F5" s="832"/>
      <c r="G5" s="832"/>
      <c r="H5" s="832"/>
      <c r="I5" s="832"/>
      <c r="J5" s="832"/>
      <c r="K5" s="832"/>
      <c r="L5" s="832"/>
      <c r="M5" s="832"/>
      <c r="N5" s="832"/>
      <c r="O5" s="832"/>
      <c r="P5" s="832"/>
      <c r="Q5" s="832"/>
      <c r="R5" s="832"/>
      <c r="S5" s="832"/>
      <c r="T5" s="832"/>
      <c r="U5" s="832"/>
      <c r="V5" s="832"/>
      <c r="W5" s="832"/>
      <c r="X5" s="832"/>
      <c r="AB5">
        <f>+일자별요약v2!$F$8</f>
        <v>45</v>
      </c>
      <c r="AH5">
        <f>+AB5-1</f>
        <v>44</v>
      </c>
    </row>
    <row r="6" spans="1:34" ht="49.5" customHeight="1" x14ac:dyDescent="0.25">
      <c r="A6" s="832"/>
      <c r="B6" s="832"/>
      <c r="C6" s="832"/>
      <c r="D6" s="832"/>
      <c r="E6" s="832"/>
      <c r="F6" s="832"/>
      <c r="G6" s="832"/>
      <c r="H6" s="832"/>
      <c r="I6" s="832"/>
      <c r="J6" s="832"/>
      <c r="K6" s="832"/>
      <c r="L6" s="832"/>
      <c r="M6" s="832"/>
      <c r="N6" s="832"/>
      <c r="O6" s="832"/>
      <c r="P6" s="832"/>
      <c r="Q6" s="832"/>
      <c r="R6" s="832"/>
      <c r="S6" s="832"/>
      <c r="T6" s="832"/>
      <c r="U6" s="832"/>
      <c r="V6" s="832"/>
      <c r="W6" s="832"/>
      <c r="X6" s="832"/>
      <c r="AB6" s="816" t="s">
        <v>24</v>
      </c>
      <c r="AC6" s="816" t="s">
        <v>14</v>
      </c>
      <c r="AD6" s="816" t="s">
        <v>4</v>
      </c>
      <c r="AE6" s="816" t="s">
        <v>5</v>
      </c>
      <c r="AH6" s="843" t="s">
        <v>24</v>
      </c>
    </row>
    <row r="7" spans="1:34" ht="49.5" customHeight="1" x14ac:dyDescent="0.25">
      <c r="A7" s="832"/>
      <c r="B7" s="832"/>
      <c r="C7" s="832"/>
      <c r="D7" s="832"/>
      <c r="E7" s="832"/>
      <c r="F7" s="832"/>
      <c r="G7" s="832"/>
      <c r="H7" s="832"/>
      <c r="I7" s="832"/>
      <c r="J7" s="832"/>
      <c r="K7" s="832"/>
      <c r="L7" s="832"/>
      <c r="M7" s="832"/>
      <c r="N7" s="832"/>
      <c r="O7" s="832"/>
      <c r="P7" s="832"/>
      <c r="Q7" s="832"/>
      <c r="R7" s="832"/>
      <c r="S7" s="832"/>
      <c r="T7" s="832"/>
      <c r="U7" s="832"/>
      <c r="V7" s="832"/>
      <c r="W7" s="832"/>
      <c r="X7" s="832"/>
      <c r="AA7" s="816" t="s">
        <v>98</v>
      </c>
      <c r="AB7" s="23">
        <f>+SUMIFS(daily!$H$2:$H$1329,daily!$F$2:$F$1329,AB$6,daily!$I$2:$I$1329,"&lt;="&amp;$AB$5)</f>
        <v>7953</v>
      </c>
      <c r="AC7" s="23">
        <f>+SUMIFS(daily!$H$2:$H$1329,daily!$F$2:$F$1329,AC$6,daily!$I$2:$I$1329,"&lt;="&amp;$AB$5)</f>
        <v>8820</v>
      </c>
      <c r="AD7" s="23">
        <f>+SUMIFS(daily!$H$2:$H$1329,daily!$F$2:$F$1329,AD$6,daily!$I$2:$I$1329,"&lt;="&amp;$AB$5)</f>
        <v>5985</v>
      </c>
      <c r="AE7" s="23">
        <f>+SUMIFS(daily!$H$2:$H$1329,daily!$F$2:$F$1329,AE$6,daily!$I$2:$I$1329,"&lt;="&amp;$AB$5)</f>
        <v>5252</v>
      </c>
      <c r="AH7" s="23">
        <f>+SUMIFS(daily!$H$2:$H$1329,daily!$F$2:$F$1329,AH$6,daily!$I$2:$I$1329,"&lt;="&amp;$AH$5)</f>
        <v>7838</v>
      </c>
    </row>
    <row r="8" spans="1:34" ht="49.5" customHeight="1" x14ac:dyDescent="0.25">
      <c r="A8" s="832"/>
      <c r="B8" s="832"/>
      <c r="C8" s="832"/>
      <c r="D8" s="832"/>
      <c r="E8" s="832"/>
      <c r="F8" s="832"/>
      <c r="G8" s="832"/>
      <c r="H8" s="832"/>
      <c r="I8" s="832"/>
      <c r="J8" s="832"/>
      <c r="K8" s="832"/>
      <c r="L8" s="832"/>
      <c r="M8" s="832"/>
      <c r="N8" s="832"/>
      <c r="O8" s="832"/>
      <c r="P8" s="832"/>
      <c r="Q8" s="832"/>
      <c r="R8" s="832"/>
      <c r="S8" s="832"/>
      <c r="T8" s="832"/>
      <c r="U8" s="832"/>
      <c r="V8" s="832"/>
      <c r="W8" s="832"/>
      <c r="X8" s="832"/>
      <c r="AA8" s="816" t="s">
        <v>97</v>
      </c>
      <c r="AB8" s="23">
        <f>+SUMIFS(daily!$G$2:$G$1329,daily!$F$2:$F$1329,AB$6,daily!$I$2:$I$1329,"&lt;="&amp;$AB$5)</f>
        <v>1423</v>
      </c>
      <c r="AC8" s="23">
        <f>+SUMIFS(daily!$G$2:$G$1329,daily!$F$2:$F$1329,AC$6,daily!$I$2:$I$1329,"&lt;="&amp;$AB$5)</f>
        <v>1196</v>
      </c>
      <c r="AD8" s="23">
        <f>+SUMIFS(daily!$G$2:$G$1329,daily!$F$2:$F$1329,AD$6,daily!$I$2:$I$1329,"&lt;="&amp;$AB$5)</f>
        <v>1139</v>
      </c>
      <c r="AE8" s="23">
        <f>+SUMIFS(daily!$G$2:$G$1329,daily!$F$2:$F$1329,AE$6,daily!$I$2:$I$1329,"&lt;="&amp;$AB$5)</f>
        <v>1069</v>
      </c>
      <c r="AH8" s="23">
        <f>+SUMIFS(daily!$G$2:$G$1329,daily!$F$2:$F$1329,AH$6,daily!$I$2:$I$1329,"&lt;="&amp;$AH$5)</f>
        <v>1395</v>
      </c>
    </row>
    <row r="9" spans="1:34" ht="49.5" customHeight="1" x14ac:dyDescent="0.25">
      <c r="A9" s="832"/>
      <c r="B9" s="832"/>
      <c r="C9" s="832"/>
      <c r="D9" s="832"/>
      <c r="E9" s="832"/>
      <c r="F9" s="832"/>
      <c r="G9" s="832"/>
      <c r="H9" s="832"/>
      <c r="I9" s="832"/>
      <c r="J9" s="832"/>
      <c r="K9" s="832"/>
      <c r="L9" s="832"/>
      <c r="M9" s="832"/>
      <c r="N9" s="832"/>
      <c r="O9" s="832"/>
      <c r="P9" s="832"/>
      <c r="Q9" s="832"/>
      <c r="R9" s="832"/>
      <c r="S9" s="832"/>
      <c r="T9" s="832"/>
      <c r="U9" s="832"/>
      <c r="V9" s="832"/>
      <c r="W9" s="832"/>
      <c r="X9" s="832"/>
      <c r="AB9" s="181">
        <f>+AB8/SUM(AB7:AB8)</f>
        <v>0.15177047781569966</v>
      </c>
      <c r="AC9" s="181">
        <f t="shared" ref="AC9:AE9" si="0">+AC8/SUM(AC7:AC8)</f>
        <v>0.11940894568690096</v>
      </c>
      <c r="AD9" s="181">
        <f t="shared" si="0"/>
        <v>0.15988208871420551</v>
      </c>
      <c r="AE9" s="181">
        <f t="shared" si="0"/>
        <v>0.16911881031482359</v>
      </c>
      <c r="AH9" s="181">
        <f>+AH8/SUM(AH7:AH8)</f>
        <v>0.15108848694898733</v>
      </c>
    </row>
    <row r="10" spans="1:34" ht="49.5" customHeight="1" x14ac:dyDescent="0.25">
      <c r="A10" s="832"/>
      <c r="B10" s="832"/>
      <c r="C10" s="832"/>
      <c r="D10" s="832"/>
      <c r="E10" s="832"/>
      <c r="F10" s="832"/>
      <c r="G10" s="832"/>
      <c r="H10" s="832"/>
      <c r="I10" s="832"/>
      <c r="J10" s="832"/>
      <c r="K10" s="832"/>
      <c r="L10" s="832"/>
      <c r="M10" s="832"/>
      <c r="N10" s="832"/>
      <c r="O10" s="832"/>
      <c r="P10" s="832"/>
      <c r="Q10" s="832"/>
      <c r="R10" s="832"/>
      <c r="S10" s="832"/>
      <c r="T10" s="832"/>
      <c r="U10" s="832"/>
      <c r="V10" s="832"/>
      <c r="W10" s="832"/>
      <c r="X10" s="832"/>
      <c r="AB10" s="839">
        <f>+AB7+AB8</f>
        <v>9376</v>
      </c>
      <c r="AC10" s="839">
        <f t="shared" ref="AC10:AE10" si="1">+AC7+AC8</f>
        <v>10016</v>
      </c>
      <c r="AD10" s="839">
        <f t="shared" si="1"/>
        <v>7124</v>
      </c>
      <c r="AE10" s="839">
        <f t="shared" si="1"/>
        <v>6321</v>
      </c>
      <c r="AH10" s="839">
        <f>+AH7+AH8</f>
        <v>9233</v>
      </c>
    </row>
    <row r="11" spans="1:34" ht="49.5" customHeight="1" x14ac:dyDescent="0.25">
      <c r="A11" s="832"/>
      <c r="B11" s="832"/>
      <c r="C11" s="832"/>
      <c r="D11" s="832"/>
      <c r="E11" s="832"/>
      <c r="F11" s="832"/>
      <c r="G11" s="832"/>
      <c r="H11" s="832"/>
      <c r="I11" s="832"/>
      <c r="J11" s="832"/>
      <c r="K11" s="832"/>
      <c r="L11" s="832"/>
      <c r="M11" s="832"/>
      <c r="N11" s="832"/>
      <c r="O11" s="832"/>
      <c r="P11" s="832"/>
      <c r="Q11" s="832"/>
      <c r="R11" s="832"/>
      <c r="S11" s="832"/>
      <c r="T11" s="832"/>
      <c r="U11" s="832"/>
      <c r="V11" s="832"/>
      <c r="W11" s="832"/>
      <c r="X11" s="832"/>
      <c r="AH11" s="23">
        <f>+AH10/AH5</f>
        <v>209.84090909090909</v>
      </c>
    </row>
    <row r="12" spans="1:34" ht="49.5" customHeight="1" x14ac:dyDescent="0.25">
      <c r="A12" s="832"/>
      <c r="B12" s="832"/>
      <c r="C12" s="832"/>
      <c r="D12" s="832"/>
      <c r="E12" s="832"/>
      <c r="F12" s="832"/>
      <c r="G12" s="832"/>
      <c r="H12" s="832"/>
      <c r="I12" s="832"/>
      <c r="J12" s="832"/>
      <c r="K12" s="832"/>
      <c r="L12" s="832"/>
      <c r="M12" s="832"/>
      <c r="N12" s="832"/>
      <c r="O12" s="832"/>
      <c r="P12" s="832"/>
      <c r="Q12" s="832"/>
      <c r="R12" s="832"/>
      <c r="S12" s="832"/>
      <c r="T12" s="832"/>
      <c r="U12" s="832"/>
      <c r="V12" s="832"/>
      <c r="W12" s="832"/>
      <c r="X12" s="832"/>
      <c r="AA12" s="835" t="s">
        <v>292</v>
      </c>
      <c r="AB12" s="834">
        <f>+주차별보고v2!O5/10000</f>
        <v>4</v>
      </c>
      <c r="AC12" s="834">
        <f>+주차별보고v2!P5/10000</f>
        <v>3.5</v>
      </c>
      <c r="AD12" s="834">
        <f>+주차별보고v2!Q5/10000</f>
        <v>3</v>
      </c>
      <c r="AE12" s="834">
        <f>+주차별보고v2!R5/10000</f>
        <v>2.5</v>
      </c>
      <c r="AF12" s="834">
        <f>+주차별보고v2!S5/10000</f>
        <v>2</v>
      </c>
      <c r="AG12" s="834">
        <f>+주차별보고v2!T5/10000</f>
        <v>1.5</v>
      </c>
    </row>
    <row r="13" spans="1:34" ht="49.5" customHeight="1" x14ac:dyDescent="0.25">
      <c r="A13" s="832"/>
      <c r="B13" s="832"/>
      <c r="C13" s="832"/>
      <c r="D13" s="832"/>
      <c r="E13" s="832"/>
      <c r="F13" s="832"/>
      <c r="G13" s="832"/>
      <c r="H13" s="832"/>
      <c r="I13" s="832"/>
      <c r="J13" s="832"/>
      <c r="K13" s="832"/>
      <c r="L13" s="832"/>
      <c r="M13" s="832"/>
      <c r="N13" s="832"/>
      <c r="O13" s="832"/>
      <c r="P13" s="832"/>
      <c r="Q13" s="832"/>
      <c r="R13" s="832"/>
      <c r="S13" s="832"/>
      <c r="T13" s="832"/>
      <c r="U13" s="832"/>
      <c r="V13" s="832"/>
      <c r="W13" s="832"/>
      <c r="X13" s="832"/>
      <c r="AA13" s="23">
        <f ca="1">+일자별요약v2!$J$8</f>
        <v>208.35555555555555</v>
      </c>
      <c r="AB13" s="23">
        <f>+주차별보고v2!O6</f>
        <v>430.10752688172045</v>
      </c>
      <c r="AC13" s="23">
        <f>+주차별보고v2!P6</f>
        <v>376.3440860215054</v>
      </c>
      <c r="AD13" s="23">
        <f>+주차별보고v2!Q6</f>
        <v>322.58064516129031</v>
      </c>
      <c r="AE13" s="23">
        <f>+주차별보고v2!R6</f>
        <v>268.81720430107526</v>
      </c>
      <c r="AF13" s="23">
        <f>+주차별보고v2!S6</f>
        <v>215.05376344086022</v>
      </c>
      <c r="AG13" s="23">
        <f>+주차별보고v2!T6</f>
        <v>161.29032258064515</v>
      </c>
      <c r="AH13" s="23"/>
    </row>
    <row r="14" spans="1:34" ht="49.5" customHeight="1" x14ac:dyDescent="0.25">
      <c r="A14" s="832"/>
      <c r="B14" s="832"/>
      <c r="C14" s="832"/>
      <c r="D14" s="832"/>
      <c r="E14" s="832"/>
      <c r="F14" s="832"/>
      <c r="G14" s="832"/>
      <c r="H14" s="832"/>
      <c r="I14" s="832"/>
      <c r="J14" s="832"/>
      <c r="K14" s="832"/>
      <c r="L14" s="832"/>
      <c r="M14" s="832"/>
      <c r="N14" s="832"/>
      <c r="O14" s="832"/>
      <c r="P14" s="832"/>
      <c r="Q14" s="832"/>
      <c r="R14" s="832"/>
      <c r="S14" s="832"/>
      <c r="T14" s="832"/>
      <c r="U14" s="832"/>
      <c r="V14" s="832"/>
      <c r="W14" s="832"/>
      <c r="X14" s="832"/>
      <c r="Y14" t="s">
        <v>294</v>
      </c>
      <c r="Z14" s="25" t="str">
        <f ca="1">+TEXT(AA14,"#,###명")</f>
        <v>208명</v>
      </c>
      <c r="AA14" s="23">
        <f ca="1">+$AA$13</f>
        <v>208.35555555555555</v>
      </c>
      <c r="AB14" s="23">
        <f ca="1">+$AA$13</f>
        <v>208.35555555555555</v>
      </c>
      <c r="AC14" s="23">
        <f ca="1">+AB14</f>
        <v>208.35555555555555</v>
      </c>
      <c r="AD14" s="23">
        <f t="shared" ref="AD14:AG14" ca="1" si="2">+AC14</f>
        <v>208.35555555555555</v>
      </c>
      <c r="AE14" s="23">
        <f t="shared" ca="1" si="2"/>
        <v>208.35555555555555</v>
      </c>
      <c r="AF14" s="23">
        <f t="shared" ca="1" si="2"/>
        <v>208.35555555555555</v>
      </c>
      <c r="AG14" s="23">
        <f t="shared" ca="1" si="2"/>
        <v>208.35555555555555</v>
      </c>
    </row>
    <row r="15" spans="1:34" ht="49.5" customHeight="1" x14ac:dyDescent="0.25">
      <c r="A15" s="832"/>
      <c r="B15" s="832"/>
      <c r="C15" s="832"/>
      <c r="D15" s="832"/>
      <c r="E15" s="832"/>
      <c r="F15" s="832"/>
      <c r="G15" s="832"/>
      <c r="H15" s="832"/>
      <c r="I15" s="832"/>
      <c r="J15" s="832"/>
      <c r="K15" s="832"/>
      <c r="L15" s="832"/>
      <c r="M15" s="832"/>
      <c r="N15" s="832"/>
      <c r="O15" s="832"/>
      <c r="P15" s="832"/>
      <c r="Q15" s="832"/>
      <c r="R15" s="832"/>
      <c r="S15" s="832"/>
      <c r="T15" s="832"/>
      <c r="U15" s="832"/>
      <c r="V15" s="832"/>
      <c r="W15" s="832"/>
      <c r="X15" s="832"/>
      <c r="Y15" t="s">
        <v>295</v>
      </c>
      <c r="Z15" s="25">
        <f>+AH11</f>
        <v>209.84090909090909</v>
      </c>
      <c r="AB15" s="844">
        <f ca="1">+AB14-AB13</f>
        <v>-221.75197132616489</v>
      </c>
      <c r="AC15" s="844">
        <f t="shared" ref="AC15:AG15" ca="1" si="3">+AC14-AC13</f>
        <v>-167.98853046594985</v>
      </c>
      <c r="AD15" s="844">
        <f t="shared" ca="1" si="3"/>
        <v>-114.22508960573475</v>
      </c>
      <c r="AE15" s="844">
        <f t="shared" ca="1" si="3"/>
        <v>-60.46164874551971</v>
      </c>
      <c r="AF15" s="844">
        <f t="shared" ca="1" si="3"/>
        <v>-6.6982078853046687</v>
      </c>
      <c r="AG15" s="844">
        <f t="shared" ca="1" si="3"/>
        <v>47.065232974910401</v>
      </c>
    </row>
    <row r="16" spans="1:34" ht="136.5" customHeight="1" x14ac:dyDescent="0.25">
      <c r="A16" s="832"/>
      <c r="B16" s="832"/>
      <c r="C16" s="832"/>
      <c r="D16" s="832"/>
      <c r="E16" s="832"/>
      <c r="F16" s="832"/>
      <c r="G16" s="832"/>
      <c r="H16" s="832"/>
      <c r="I16" s="832"/>
      <c r="J16" s="832"/>
      <c r="K16" s="832"/>
      <c r="L16" s="832"/>
      <c r="M16" s="832"/>
      <c r="N16" s="832"/>
      <c r="O16" s="832"/>
      <c r="P16" s="832"/>
      <c r="Q16" s="832"/>
      <c r="R16" s="832"/>
      <c r="S16" s="832"/>
      <c r="T16" s="832"/>
      <c r="U16" s="832"/>
      <c r="V16" s="832"/>
      <c r="W16" s="832"/>
      <c r="X16" s="832"/>
      <c r="Y16" s="835" t="s">
        <v>296</v>
      </c>
      <c r="Z16" s="844" t="str">
        <f ca="1">+TEXT(SUBSTITUTE(Z14,"명","")-Z15,"전일대비 △ #,###;전일대비 ▼ #,###")</f>
        <v>전일대비 ▼ 2</v>
      </c>
    </row>
    <row r="17" spans="1:24" ht="42.75" customHeight="1" x14ac:dyDescent="0.25">
      <c r="A17" s="832"/>
      <c r="B17" s="832"/>
      <c r="C17" s="832"/>
      <c r="D17" s="832"/>
      <c r="E17" s="832"/>
      <c r="F17" s="832"/>
      <c r="G17" s="832"/>
      <c r="H17" s="832"/>
      <c r="I17" s="832"/>
      <c r="J17" s="832"/>
      <c r="K17" s="832"/>
      <c r="L17" s="832"/>
      <c r="M17" s="832"/>
      <c r="N17" s="832"/>
      <c r="O17" s="832"/>
      <c r="P17" s="832"/>
      <c r="Q17" s="832"/>
      <c r="R17" s="832"/>
      <c r="S17" s="832"/>
      <c r="T17" s="832"/>
      <c r="U17" s="832"/>
      <c r="V17" s="832"/>
      <c r="W17" s="832"/>
      <c r="X17" s="832"/>
    </row>
    <row r="18" spans="1:24" ht="112.5" customHeight="1" x14ac:dyDescent="0.35">
      <c r="A18" s="832"/>
      <c r="B18" s="832"/>
      <c r="C18" s="832"/>
      <c r="D18" s="832"/>
      <c r="E18" s="832"/>
      <c r="F18" s="832"/>
      <c r="G18" s="832"/>
      <c r="H18" s="832"/>
      <c r="I18" s="832"/>
      <c r="J18" s="838"/>
      <c r="K18" s="832"/>
      <c r="L18" s="832"/>
      <c r="M18" s="832"/>
      <c r="N18" s="832"/>
      <c r="O18" s="832"/>
      <c r="P18" s="832"/>
      <c r="Q18" s="832"/>
      <c r="R18" s="832"/>
      <c r="S18" s="832"/>
      <c r="T18" s="838"/>
      <c r="U18" s="832"/>
      <c r="V18" s="832"/>
      <c r="W18" s="845" t="s">
        <v>293</v>
      </c>
    </row>
    <row r="19" spans="1:24" ht="42.75" customHeight="1" x14ac:dyDescent="0.25">
      <c r="A19" s="948" t="s">
        <v>29</v>
      </c>
      <c r="B19" s="948"/>
      <c r="C19" s="944" t="str">
        <f>+TEXT(일자별요약v2!B59,"""[""    @    ""]""")</f>
        <v>[    바스키아    ]</v>
      </c>
      <c r="D19" s="944"/>
      <c r="E19" s="944"/>
      <c r="F19" s="944" t="str">
        <f>+TEXT(일자별요약v2!G59,"""[""    @    ""]""")</f>
        <v>[    마르지엘라    ]</v>
      </c>
      <c r="G19" s="944"/>
      <c r="H19" s="944"/>
      <c r="I19" s="944" t="str">
        <f>+TEXT(일자별요약v2!C59,"""[""    @    ""]""")</f>
        <v>[    김정기    ]</v>
      </c>
      <c r="J19" s="944"/>
      <c r="K19" s="944" t="str">
        <f>+TEXT(일자별요약v2!D59,"""[""    @    ""]""")</f>
        <v>[    드리머    ]</v>
      </c>
      <c r="L19" s="944"/>
      <c r="M19" s="944" t="str">
        <f>+TEXT(일자별요약v2!E59,"""[""    @    ""]""")</f>
        <v>[    알렉스    ]</v>
      </c>
      <c r="N19" s="944"/>
      <c r="O19" s="944" t="str">
        <f>+TEXT(일자별요약v2!F59,"""[""    @    ""]""")</f>
        <v>[    페어리    ]</v>
      </c>
      <c r="P19" s="944"/>
      <c r="Q19" s="944" t="str">
        <f>+TEXT(일자별요약v2!H59,"""[""    @    ""]""")</f>
        <v>[    제이알    ]</v>
      </c>
      <c r="R19" s="944"/>
      <c r="S19" s="944" t="str">
        <f>+TEXT(일자별요약v2!I59,"""[""   @   ""]""")</f>
        <v>[   오스틴 리   ]</v>
      </c>
      <c r="T19" s="944"/>
      <c r="U19" s="944" t="str">
        <f>+TEXT(일자별요약v2!J59,"""[""   @   ""]""")</f>
        <v>[   윤협   ]</v>
      </c>
      <c r="V19" s="944"/>
      <c r="W19" s="944"/>
    </row>
    <row r="20" spans="1:24" ht="42.75" customHeight="1" x14ac:dyDescent="0.25">
      <c r="A20" s="949" t="s">
        <v>102</v>
      </c>
      <c r="B20" s="950"/>
      <c r="C20" s="945"/>
      <c r="D20" s="945"/>
      <c r="E20" s="945"/>
      <c r="F20" s="945"/>
      <c r="G20" s="945"/>
      <c r="H20" s="945"/>
      <c r="I20" s="945"/>
      <c r="J20" s="945"/>
      <c r="K20" s="945"/>
      <c r="L20" s="945"/>
      <c r="M20" s="945"/>
      <c r="N20" s="945"/>
      <c r="O20" s="945"/>
      <c r="P20" s="945"/>
      <c r="Q20" s="945"/>
      <c r="R20" s="945"/>
      <c r="S20" s="945"/>
      <c r="T20" s="945"/>
      <c r="U20" s="955"/>
      <c r="V20" s="956"/>
      <c r="W20" s="957"/>
    </row>
    <row r="21" spans="1:24" ht="42.75" customHeight="1" x14ac:dyDescent="0.25">
      <c r="A21" s="951"/>
      <c r="B21" s="952"/>
      <c r="C21" s="946"/>
      <c r="D21" s="946"/>
      <c r="E21" s="946"/>
      <c r="F21" s="946"/>
      <c r="G21" s="946"/>
      <c r="H21" s="946"/>
      <c r="I21" s="946"/>
      <c r="J21" s="946"/>
      <c r="K21" s="946"/>
      <c r="L21" s="946"/>
      <c r="M21" s="946"/>
      <c r="N21" s="946"/>
      <c r="O21" s="946"/>
      <c r="P21" s="946"/>
      <c r="Q21" s="946"/>
      <c r="R21" s="946"/>
      <c r="S21" s="946"/>
      <c r="T21" s="946"/>
      <c r="U21" s="958"/>
      <c r="V21" s="959"/>
      <c r="W21" s="960"/>
    </row>
    <row r="22" spans="1:24" ht="42.75" customHeight="1" x14ac:dyDescent="0.25">
      <c r="A22" s="951"/>
      <c r="B22" s="952"/>
      <c r="C22" s="946"/>
      <c r="D22" s="946"/>
      <c r="E22" s="946"/>
      <c r="F22" s="946"/>
      <c r="G22" s="946"/>
      <c r="H22" s="946"/>
      <c r="I22" s="946"/>
      <c r="J22" s="946"/>
      <c r="K22" s="946"/>
      <c r="L22" s="946"/>
      <c r="M22" s="946"/>
      <c r="N22" s="946"/>
      <c r="O22" s="946"/>
      <c r="P22" s="946"/>
      <c r="Q22" s="946"/>
      <c r="R22" s="946"/>
      <c r="S22" s="946"/>
      <c r="T22" s="946"/>
      <c r="U22" s="958"/>
      <c r="V22" s="959"/>
      <c r="W22" s="960"/>
    </row>
    <row r="23" spans="1:24" ht="42.75" customHeight="1" x14ac:dyDescent="0.25">
      <c r="A23" s="951"/>
      <c r="B23" s="952"/>
      <c r="C23" s="946"/>
      <c r="D23" s="946"/>
      <c r="E23" s="946"/>
      <c r="F23" s="946"/>
      <c r="G23" s="946"/>
      <c r="H23" s="946"/>
      <c r="I23" s="946"/>
      <c r="J23" s="946"/>
      <c r="K23" s="946"/>
      <c r="L23" s="946"/>
      <c r="M23" s="946"/>
      <c r="N23" s="946"/>
      <c r="O23" s="946"/>
      <c r="P23" s="946"/>
      <c r="Q23" s="946"/>
      <c r="R23" s="946"/>
      <c r="S23" s="946"/>
      <c r="T23" s="946"/>
      <c r="U23" s="958"/>
      <c r="V23" s="959"/>
      <c r="W23" s="960"/>
    </row>
    <row r="24" spans="1:24" ht="42.75" customHeight="1" x14ac:dyDescent="0.25">
      <c r="A24" s="951"/>
      <c r="B24" s="952"/>
      <c r="C24" s="946"/>
      <c r="D24" s="946"/>
      <c r="E24" s="946"/>
      <c r="F24" s="946"/>
      <c r="G24" s="946"/>
      <c r="H24" s="946"/>
      <c r="I24" s="946"/>
      <c r="J24" s="946"/>
      <c r="K24" s="946"/>
      <c r="L24" s="946"/>
      <c r="M24" s="946"/>
      <c r="N24" s="946"/>
      <c r="O24" s="946"/>
      <c r="P24" s="946"/>
      <c r="Q24" s="946"/>
      <c r="R24" s="946"/>
      <c r="S24" s="946"/>
      <c r="T24" s="946"/>
      <c r="U24" s="958"/>
      <c r="V24" s="959"/>
      <c r="W24" s="960"/>
    </row>
    <row r="25" spans="1:24" ht="42.75" customHeight="1" x14ac:dyDescent="0.25">
      <c r="A25" s="951"/>
      <c r="B25" s="952"/>
      <c r="C25" s="946"/>
      <c r="D25" s="946"/>
      <c r="E25" s="946"/>
      <c r="F25" s="946"/>
      <c r="G25" s="946"/>
      <c r="H25" s="946"/>
      <c r="I25" s="946"/>
      <c r="J25" s="946"/>
      <c r="K25" s="946"/>
      <c r="L25" s="946"/>
      <c r="M25" s="946"/>
      <c r="N25" s="946"/>
      <c r="O25" s="946"/>
      <c r="P25" s="946"/>
      <c r="Q25" s="946"/>
      <c r="R25" s="946"/>
      <c r="S25" s="946"/>
      <c r="T25" s="946"/>
      <c r="U25" s="958"/>
      <c r="V25" s="959"/>
      <c r="W25" s="960"/>
    </row>
    <row r="26" spans="1:24" ht="42.75" customHeight="1" x14ac:dyDescent="0.25">
      <c r="A26" s="951"/>
      <c r="B26" s="952"/>
      <c r="C26" s="946"/>
      <c r="D26" s="946"/>
      <c r="E26" s="946"/>
      <c r="F26" s="946"/>
      <c r="G26" s="946"/>
      <c r="H26" s="946"/>
      <c r="I26" s="946"/>
      <c r="J26" s="946"/>
      <c r="K26" s="946"/>
      <c r="L26" s="946"/>
      <c r="M26" s="946"/>
      <c r="N26" s="946"/>
      <c r="O26" s="946"/>
      <c r="P26" s="946"/>
      <c r="Q26" s="946"/>
      <c r="R26" s="946"/>
      <c r="S26" s="946"/>
      <c r="T26" s="946"/>
      <c r="U26" s="958"/>
      <c r="V26" s="959"/>
      <c r="W26" s="960"/>
    </row>
    <row r="27" spans="1:24" ht="42.75" customHeight="1" x14ac:dyDescent="0.25">
      <c r="A27" s="951"/>
      <c r="B27" s="952"/>
      <c r="C27" s="946"/>
      <c r="D27" s="946"/>
      <c r="E27" s="946"/>
      <c r="F27" s="946"/>
      <c r="G27" s="946"/>
      <c r="H27" s="946"/>
      <c r="I27" s="946"/>
      <c r="J27" s="946"/>
      <c r="K27" s="946"/>
      <c r="L27" s="946"/>
      <c r="M27" s="946"/>
      <c r="N27" s="946"/>
      <c r="O27" s="946"/>
      <c r="P27" s="946"/>
      <c r="Q27" s="946"/>
      <c r="R27" s="946"/>
      <c r="S27" s="946"/>
      <c r="T27" s="946"/>
      <c r="U27" s="958"/>
      <c r="V27" s="959"/>
      <c r="W27" s="960"/>
    </row>
    <row r="28" spans="1:24" ht="42.75" customHeight="1" x14ac:dyDescent="0.25">
      <c r="A28" s="951"/>
      <c r="B28" s="952"/>
      <c r="C28" s="946"/>
      <c r="D28" s="946"/>
      <c r="E28" s="946"/>
      <c r="F28" s="946"/>
      <c r="G28" s="946"/>
      <c r="H28" s="946"/>
      <c r="I28" s="946"/>
      <c r="J28" s="946"/>
      <c r="K28" s="946"/>
      <c r="L28" s="946"/>
      <c r="M28" s="946"/>
      <c r="N28" s="946"/>
      <c r="O28" s="946"/>
      <c r="P28" s="946"/>
      <c r="Q28" s="946"/>
      <c r="R28" s="946"/>
      <c r="S28" s="946"/>
      <c r="T28" s="946"/>
      <c r="U28" s="958"/>
      <c r="V28" s="959"/>
      <c r="W28" s="960"/>
    </row>
    <row r="29" spans="1:24" ht="42.75" customHeight="1" x14ac:dyDescent="0.25">
      <c r="A29" s="951"/>
      <c r="B29" s="952"/>
      <c r="C29" s="946"/>
      <c r="D29" s="946"/>
      <c r="E29" s="946"/>
      <c r="F29" s="946"/>
      <c r="G29" s="946"/>
      <c r="H29" s="946"/>
      <c r="I29" s="946"/>
      <c r="J29" s="946"/>
      <c r="K29" s="946"/>
      <c r="L29" s="946"/>
      <c r="M29" s="946"/>
      <c r="N29" s="946"/>
      <c r="O29" s="946"/>
      <c r="P29" s="946"/>
      <c r="Q29" s="946"/>
      <c r="R29" s="946"/>
      <c r="S29" s="946"/>
      <c r="T29" s="946"/>
      <c r="U29" s="958"/>
      <c r="V29" s="959"/>
      <c r="W29" s="960"/>
    </row>
    <row r="30" spans="1:24" ht="42.75" customHeight="1" x14ac:dyDescent="0.25">
      <c r="A30" s="951"/>
      <c r="B30" s="952"/>
      <c r="C30" s="946"/>
      <c r="D30" s="946"/>
      <c r="E30" s="946"/>
      <c r="F30" s="946"/>
      <c r="G30" s="946"/>
      <c r="H30" s="946"/>
      <c r="I30" s="946"/>
      <c r="J30" s="946"/>
      <c r="K30" s="946"/>
      <c r="L30" s="946"/>
      <c r="M30" s="946"/>
      <c r="N30" s="946"/>
      <c r="O30" s="946"/>
      <c r="P30" s="946"/>
      <c r="Q30" s="946"/>
      <c r="R30" s="946"/>
      <c r="S30" s="946"/>
      <c r="T30" s="946"/>
      <c r="U30" s="958"/>
      <c r="V30" s="959"/>
      <c r="W30" s="960"/>
    </row>
    <row r="31" spans="1:24" ht="409.5" customHeight="1" x14ac:dyDescent="0.25">
      <c r="A31" s="953"/>
      <c r="B31" s="954"/>
      <c r="C31" s="947"/>
      <c r="D31" s="947"/>
      <c r="E31" s="947"/>
      <c r="F31" s="947"/>
      <c r="G31" s="947"/>
      <c r="H31" s="947"/>
      <c r="I31" s="947"/>
      <c r="J31" s="947"/>
      <c r="K31" s="947"/>
      <c r="L31" s="947"/>
      <c r="M31" s="947"/>
      <c r="N31" s="947"/>
      <c r="O31" s="947"/>
      <c r="P31" s="947"/>
      <c r="Q31" s="947"/>
      <c r="R31" s="947"/>
      <c r="S31" s="947"/>
      <c r="T31" s="947"/>
      <c r="U31" s="961"/>
      <c r="V31" s="962"/>
      <c r="W31" s="963"/>
    </row>
    <row r="32" spans="1:24" ht="57.75" customHeight="1" x14ac:dyDescent="0.25">
      <c r="A32" s="964" t="str">
        <f>+일자별요약v2!$F$8&amp;"일차"&amp;CHAR(10)&amp;"누적관람객"</f>
        <v>45일차
누적관람객</v>
      </c>
      <c r="B32" s="964"/>
      <c r="C32" s="965"/>
      <c r="D32" s="965"/>
      <c r="E32" s="965"/>
      <c r="F32" s="965"/>
      <c r="G32" s="965"/>
      <c r="H32" s="965"/>
      <c r="I32" s="965"/>
      <c r="J32" s="965"/>
      <c r="K32" s="965"/>
      <c r="L32" s="965"/>
      <c r="M32" s="965"/>
      <c r="N32" s="965"/>
      <c r="O32" s="965"/>
      <c r="P32" s="965"/>
      <c r="Q32" s="965"/>
      <c r="R32" s="965"/>
      <c r="S32" s="965"/>
      <c r="T32" s="965"/>
      <c r="U32" s="965"/>
      <c r="V32" s="965"/>
      <c r="W32" s="965"/>
    </row>
    <row r="33" spans="6:16" ht="42.75" customHeight="1" x14ac:dyDescent="0.25">
      <c r="F33"/>
      <c r="G33"/>
      <c r="H33"/>
      <c r="N33" s="128"/>
      <c r="O33" s="128"/>
      <c r="P33" s="128"/>
    </row>
  </sheetData>
  <mergeCells count="31">
    <mergeCell ref="A19:B19"/>
    <mergeCell ref="A20:B31"/>
    <mergeCell ref="U20:W31"/>
    <mergeCell ref="A32:B32"/>
    <mergeCell ref="C32:E32"/>
    <mergeCell ref="F32:H32"/>
    <mergeCell ref="I32:J32"/>
    <mergeCell ref="K32:L32"/>
    <mergeCell ref="M32:N32"/>
    <mergeCell ref="O32:P32"/>
    <mergeCell ref="Q32:R32"/>
    <mergeCell ref="S32:T32"/>
    <mergeCell ref="U32:W32"/>
    <mergeCell ref="Q20:R31"/>
    <mergeCell ref="S20:T31"/>
    <mergeCell ref="C19:E19"/>
    <mergeCell ref="C20:E31"/>
    <mergeCell ref="F19:H19"/>
    <mergeCell ref="F20:H31"/>
    <mergeCell ref="I20:J31"/>
    <mergeCell ref="K20:L31"/>
    <mergeCell ref="M20:N31"/>
    <mergeCell ref="O20:P31"/>
    <mergeCell ref="O19:P19"/>
    <mergeCell ref="Q19:R19"/>
    <mergeCell ref="S19:T19"/>
    <mergeCell ref="U2:W2"/>
    <mergeCell ref="I19:J19"/>
    <mergeCell ref="K19:L19"/>
    <mergeCell ref="M19:N19"/>
    <mergeCell ref="U19:W19"/>
  </mergeCells>
  <phoneticPr fontId="2" type="noConversion"/>
  <printOptions horizontalCentered="1" verticalCentered="1"/>
  <pageMargins left="0" right="0" top="0" bottom="0" header="0" footer="0"/>
  <pageSetup paperSize="9" scale="43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3" displayEmptyCellsAs="gap" first="1" last="1" displayXAxis="1" minAxisType="group" maxAxisType="group">
          <x14:colorSeries theme="2" tint="-0.249977111117893"/>
          <x14:colorNegative rgb="FFD00000"/>
          <x14:colorAxis rgb="FF000000"/>
          <x14:colorMarkers rgb="FFD00000"/>
          <x14:colorFirst theme="0"/>
          <x14:colorLast theme="3" tint="0.59999389629810485"/>
          <x14:colorHigh theme="3" tint="0.59999389629810485"/>
          <x14:colorLow theme="4" tint="0.59999389629810485"/>
          <x14:sparklines>
            <x14:sparkline>
              <xm:f>당일누적_바스키아</xm:f>
              <xm:sqref>C20</xm:sqref>
            </x14:sparkline>
            <x14:sparkline>
              <xm:f>당일누적_윤협</xm:f>
              <xm:sqref>U20</xm:sqref>
            </x14:sparkline>
            <x14:sparkline>
              <xm:f>당일누적_마르지엘라</xm:f>
              <xm:sqref>F20</xm:sqref>
            </x14:sparkline>
            <x14:sparkline>
              <xm:f>당일누적_오스틴리</xm:f>
              <xm:sqref>S20</xm:sqref>
            </x14:sparkline>
            <x14:sparkline>
              <xm:f>당일누적_제이알</xm:f>
              <xm:sqref>Q20</xm:sqref>
            </x14:sparkline>
            <x14:sparkline>
              <xm:f>당일누적_페어리</xm:f>
              <xm:sqref>O20</xm:sqref>
            </x14:sparkline>
            <x14:sparkline>
              <xm:f>당일누적_알렉스</xm:f>
              <xm:sqref>M20</xm:sqref>
            </x14:sparkline>
            <x14:sparkline>
              <xm:f>당일누적_김정기</xm:f>
              <xm:sqref>I20</xm:sqref>
            </x14:sparkline>
            <x14:sparkline>
              <xm:f>당일누적_드리머</xm:f>
              <xm:sqref>K20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3" tint="-0.249977111117893"/>
  </sheetPr>
  <dimension ref="A1:V232"/>
  <sheetViews>
    <sheetView showGridLines="0" showZeros="0" view="pageBreakPreview" zoomScale="85" zoomScaleNormal="100" zoomScaleSheetLayoutView="85" workbookViewId="0">
      <selection activeCell="C20" sqref="C20:E31"/>
    </sheetView>
  </sheetViews>
  <sheetFormatPr defaultColWidth="14" defaultRowHeight="29.25" customHeight="1" x14ac:dyDescent="0.25"/>
  <cols>
    <col min="1" max="1" width="10.85546875" style="36" customWidth="1"/>
    <col min="2" max="10" width="17" style="55" customWidth="1"/>
    <col min="11" max="11" width="6.140625" style="36" customWidth="1"/>
    <col min="12" max="12" width="15.5703125" style="36" customWidth="1"/>
    <col min="13" max="16384" width="14" style="36"/>
  </cols>
  <sheetData>
    <row r="1" spans="1:16" ht="33.75" customHeight="1" x14ac:dyDescent="0.35">
      <c r="A1" s="583" t="s">
        <v>26</v>
      </c>
      <c r="B1" s="51"/>
      <c r="C1" s="52"/>
      <c r="D1" s="52"/>
      <c r="E1" s="52"/>
      <c r="F1" s="52"/>
      <c r="G1" s="52"/>
      <c r="H1" s="52"/>
      <c r="I1" s="52"/>
      <c r="J1" s="52"/>
      <c r="M1" s="38" t="s">
        <v>23</v>
      </c>
      <c r="N1" s="39">
        <f>+daily!$O$2</f>
        <v>45390</v>
      </c>
      <c r="P1" s="36" t="s">
        <v>90</v>
      </c>
    </row>
    <row r="2" spans="1:16" ht="33" customHeight="1" x14ac:dyDescent="0.25">
      <c r="A2" s="349" t="str">
        <f xml:space="preserve"> TEXT(N1,"yyyy-mm-dd")&amp;TEXT(F8,"   (#,###일차)")</f>
        <v>2024-04-08   (45일차)</v>
      </c>
      <c r="B2" s="300"/>
      <c r="C2" s="300"/>
      <c r="D2" s="300"/>
      <c r="E2" s="300"/>
      <c r="F2" s="300"/>
      <c r="G2" s="300"/>
      <c r="H2" s="300"/>
      <c r="I2" s="300"/>
      <c r="J2" s="300"/>
    </row>
    <row r="3" spans="1:16" customFormat="1" ht="21.75" customHeight="1" x14ac:dyDescent="0.25">
      <c r="A3" s="584" t="str">
        <f>+일자별요약v2!$O$82   &amp; "  -  총 " &amp;TEXT(M8,"#,###주 ")&amp;TEXT(N8,"#,###일")</f>
        <v>7주 3일차  -  총 13주 2일</v>
      </c>
      <c r="B3" s="300"/>
      <c r="C3" s="300"/>
      <c r="D3" s="300"/>
      <c r="E3" s="300"/>
      <c r="F3" s="300"/>
      <c r="G3" s="300"/>
      <c r="H3" s="300"/>
      <c r="I3" s="300"/>
      <c r="J3" s="300"/>
      <c r="K3" s="36"/>
      <c r="L3" s="36"/>
      <c r="M3" s="36"/>
      <c r="N3" s="36"/>
      <c r="O3" s="36"/>
    </row>
    <row r="4" spans="1:16" ht="29.25" customHeight="1" x14ac:dyDescent="0.25">
      <c r="A4" s="594" t="s">
        <v>28</v>
      </c>
      <c r="I4" s="56"/>
      <c r="J4" s="56" t="s">
        <v>27</v>
      </c>
    </row>
    <row r="5" spans="1:16" ht="39.75" customHeight="1" x14ac:dyDescent="0.25">
      <c r="B5" s="276" t="s">
        <v>95</v>
      </c>
      <c r="C5" s="277"/>
      <c r="D5" s="278">
        <f>+INDEX(요약!$L$11:$L$146,$F$8)</f>
        <v>143</v>
      </c>
      <c r="E5" s="344" t="s">
        <v>42</v>
      </c>
      <c r="F5" s="345">
        <v>40000</v>
      </c>
      <c r="G5" s="344" t="s">
        <v>41</v>
      </c>
      <c r="H5" s="346">
        <f>+F8/$E$8</f>
        <v>0.4838709677419355</v>
      </c>
      <c r="I5" s="347" t="s">
        <v>40</v>
      </c>
      <c r="J5" s="348">
        <f ca="1">+I8/F5</f>
        <v>0.2344</v>
      </c>
    </row>
    <row r="6" spans="1:16" customFormat="1" ht="8.25" customHeight="1" x14ac:dyDescent="0.25"/>
    <row r="7" spans="1:16" ht="27" customHeight="1" x14ac:dyDescent="0.25">
      <c r="B7" s="333" t="s">
        <v>19</v>
      </c>
      <c r="C7" s="334" t="s">
        <v>6</v>
      </c>
      <c r="D7" s="335" t="s">
        <v>7</v>
      </c>
      <c r="E7" s="336" t="s">
        <v>22</v>
      </c>
      <c r="F7" s="335" t="s">
        <v>18</v>
      </c>
      <c r="G7" s="337" t="s">
        <v>245</v>
      </c>
      <c r="H7" s="335" t="s">
        <v>109</v>
      </c>
      <c r="I7" s="279" t="s">
        <v>120</v>
      </c>
      <c r="J7" s="280" t="s">
        <v>121</v>
      </c>
    </row>
    <row r="8" spans="1:16" ht="27" customHeight="1" x14ac:dyDescent="0.25">
      <c r="B8" s="338" t="s">
        <v>24</v>
      </c>
      <c r="C8" s="339">
        <v>45346</v>
      </c>
      <c r="D8" s="339">
        <v>45438</v>
      </c>
      <c r="E8" s="566">
        <f>+D8-C8+1</f>
        <v>93</v>
      </c>
      <c r="F8" s="340">
        <f>+$N$1-$C$8+1</f>
        <v>45</v>
      </c>
      <c r="G8" s="339" t="str">
        <f>+TEXT(C8+F8-1,"yy.mm.dd") &amp;TEXT(C8+F8-1," (aaa)")</f>
        <v>24.04.08 (월)</v>
      </c>
      <c r="H8" s="566">
        <f>+E8-F8</f>
        <v>48</v>
      </c>
      <c r="I8" s="219">
        <f ca="1">+SUM(OFFSET(요약!$L$11,0,0,일자별요약v2!$F$8,1))</f>
        <v>9376</v>
      </c>
      <c r="J8" s="220">
        <f ca="1">+I8/F8</f>
        <v>208.35555555555555</v>
      </c>
      <c r="L8" s="364"/>
      <c r="M8" s="522">
        <f>+QUOTIENT(E8,7)</f>
        <v>13</v>
      </c>
      <c r="N8" s="195">
        <f>+MOD(E8,7)</f>
        <v>2</v>
      </c>
      <c r="O8" s="36">
        <f>+M8+N8/7</f>
        <v>13.285714285714286</v>
      </c>
    </row>
    <row r="9" spans="1:16" ht="27" customHeight="1" x14ac:dyDescent="0.25">
      <c r="B9" s="341" t="s">
        <v>32</v>
      </c>
      <c r="C9" s="342">
        <v>45195</v>
      </c>
      <c r="D9" s="342">
        <v>45291</v>
      </c>
      <c r="E9" s="567">
        <f>+D9-C9+1</f>
        <v>97</v>
      </c>
      <c r="F9" s="343">
        <f>+F8</f>
        <v>45</v>
      </c>
      <c r="G9" s="342" t="str">
        <f>+TEXT(C9+F9-1,"yy.mm.dd") &amp; " " &amp;TEXT(C9+F9-1,"(aaa)")</f>
        <v>23.11.09 (목)</v>
      </c>
      <c r="H9" s="567">
        <f>+E9-F9</f>
        <v>52</v>
      </c>
      <c r="I9" s="585">
        <f ca="1">+SUM(OFFSET(요약!$K$11,0,0,일자별요약v2!$F$9,1))</f>
        <v>10016</v>
      </c>
      <c r="J9" s="586">
        <f ca="1">+I9/F9</f>
        <v>222.57777777777778</v>
      </c>
      <c r="N9" s="829" t="str">
        <f>+F8&amp;"일차기준"</f>
        <v>45일차기준</v>
      </c>
    </row>
    <row r="10" spans="1:16" ht="27" customHeight="1" x14ac:dyDescent="0.25">
      <c r="B10" s="358" t="s">
        <v>96</v>
      </c>
      <c r="C10" s="359">
        <f>+요약!W35</f>
        <v>4427</v>
      </c>
      <c r="D10" s="360">
        <f>+요약!W38</f>
        <v>142.80645161290323</v>
      </c>
      <c r="E10" s="361" t="s">
        <v>79</v>
      </c>
      <c r="F10" s="359">
        <f>+요약!W36</f>
        <v>4949</v>
      </c>
      <c r="G10" s="362">
        <f>+요약!W39</f>
        <v>353.5</v>
      </c>
      <c r="H10" s="587">
        <f>+요약!$W$37</f>
        <v>9376</v>
      </c>
      <c r="I10" s="574">
        <f ca="1">+I8-I9</f>
        <v>-640</v>
      </c>
      <c r="J10" s="575">
        <f ca="1">+J8-J9</f>
        <v>-14.222222222222229</v>
      </c>
      <c r="L10" s="36" t="b">
        <f ca="1">+SUM(C10,F10)=I8</f>
        <v>1</v>
      </c>
      <c r="N10" s="826"/>
    </row>
    <row r="11" spans="1:16" ht="9.75" customHeight="1" x14ac:dyDescent="0.25">
      <c r="B11" s="523"/>
      <c r="C11" s="524"/>
      <c r="D11" s="525"/>
      <c r="E11" s="526"/>
      <c r="F11" s="524"/>
      <c r="G11" s="527"/>
      <c r="H11" s="528"/>
      <c r="I11" s="529"/>
      <c r="J11" s="529"/>
      <c r="N11" s="826"/>
    </row>
    <row r="12" spans="1:16" ht="30" customHeight="1" x14ac:dyDescent="0.25">
      <c r="A12" s="594" t="s">
        <v>197</v>
      </c>
      <c r="B12" s="523"/>
      <c r="C12" s="524"/>
      <c r="D12" s="525"/>
      <c r="E12" s="524"/>
      <c r="F12" s="524"/>
      <c r="G12" s="527"/>
      <c r="H12" s="528"/>
      <c r="I12" s="529"/>
      <c r="J12" s="573" t="s">
        <v>222</v>
      </c>
      <c r="N12" s="826"/>
    </row>
    <row r="13" spans="1:16" ht="34.5" customHeight="1" x14ac:dyDescent="0.25">
      <c r="B13" s="577" t="s">
        <v>187</v>
      </c>
      <c r="C13" s="578" t="s">
        <v>186</v>
      </c>
      <c r="D13" s="579" t="s">
        <v>121</v>
      </c>
      <c r="E13" s="580" t="s">
        <v>218</v>
      </c>
      <c r="F13" s="581" t="s">
        <v>219</v>
      </c>
      <c r="G13" s="581" t="s">
        <v>221</v>
      </c>
      <c r="H13" s="579" t="s">
        <v>220</v>
      </c>
      <c r="I13" s="660" t="s">
        <v>246</v>
      </c>
      <c r="J13" s="582" t="s">
        <v>185</v>
      </c>
      <c r="N13" s="826"/>
    </row>
    <row r="14" spans="1:16" ht="28.5" customHeight="1" x14ac:dyDescent="0.25">
      <c r="B14" s="877" t="s">
        <v>215</v>
      </c>
      <c r="C14" s="878" t="str">
        <f ca="1">+VLOOKUP(J8,M64:N72,2,1)</f>
        <v>제이알</v>
      </c>
      <c r="D14" s="879">
        <f ca="1">+HLOOKUP(C14,$C$74:$J$79,6,0)</f>
        <v>186.89583333333334</v>
      </c>
      <c r="E14" s="880">
        <f ca="1">+SUMPRODUCT((요약!$D$11:$K$146)*(요약!$C$11:$C$146&lt;=$F$8)*(요약!$D$6:$K$6=$C14))</f>
        <v>5757</v>
      </c>
      <c r="F14" s="881">
        <f ca="1">HLOOKUP($C14,$C$74:$J$79,4,0)</f>
        <v>96</v>
      </c>
      <c r="G14" s="881">
        <f ca="1">+F14-$F$8</f>
        <v>51</v>
      </c>
      <c r="H14" s="882">
        <f ca="1">+J14-E14</f>
        <v>12185</v>
      </c>
      <c r="I14" s="883" t="str">
        <f ca="1">+TEXT(H14/G14,"#,###명")&amp;TEXT(H14/G14-D14,"
 (전체대비 △#,###명);
( 전체대비 ▼#,###명)")</f>
        <v>239명
 (전체대비 △52명)</v>
      </c>
      <c r="J14" s="884" t="str">
        <f ca="1">+LEFT(HLOOKUP(C14,$C$74:$J$79,5,0),FIND("/",HLOOKUP(C14,$C$74:$J$79,5,0))-1)</f>
        <v>17,942</v>
      </c>
      <c r="N14" s="826"/>
    </row>
    <row r="15" spans="1:16" ht="28.5" customHeight="1" x14ac:dyDescent="0.25">
      <c r="B15" s="562"/>
      <c r="C15" s="563" t="s">
        <v>217</v>
      </c>
      <c r="D15" s="661">
        <f ca="1">+$J$8</f>
        <v>208.35555555555555</v>
      </c>
      <c r="E15" s="565">
        <f ca="1">+$I$8</f>
        <v>9376</v>
      </c>
      <c r="F15" s="572">
        <f>+E8</f>
        <v>93</v>
      </c>
      <c r="G15" s="572">
        <f t="shared" ref="G15:G16" si="0">+F15-$F$8</f>
        <v>48</v>
      </c>
      <c r="H15" s="564">
        <v>0</v>
      </c>
      <c r="I15" s="662">
        <v>0</v>
      </c>
      <c r="J15" s="825">
        <v>0</v>
      </c>
      <c r="N15" s="826"/>
    </row>
    <row r="16" spans="1:16" ht="28.5" customHeight="1" x14ac:dyDescent="0.25">
      <c r="B16" s="885" t="s">
        <v>216</v>
      </c>
      <c r="C16" s="886" t="str">
        <f ca="1">+INDEX($N$65:$N$72,MATCH(C14,$N$65:$N$72,0)+1)</f>
        <v>드리머</v>
      </c>
      <c r="D16" s="887">
        <f ca="1">+HLOOKUP(C16,$C$74:$J$79,6,0)</f>
        <v>241.42156862745097</v>
      </c>
      <c r="E16" s="888">
        <f ca="1">+SUMPRODUCT((요약!$D$11:$K$146)*(요약!$C$11:$C$146&lt;=$F$8)*(요약!$D$6:$K$6=$C16))</f>
        <v>7124</v>
      </c>
      <c r="F16" s="889">
        <f ca="1">HLOOKUP($C16,$C$74:$J$79,4,0)</f>
        <v>102</v>
      </c>
      <c r="G16" s="889">
        <f t="shared" ca="1" si="0"/>
        <v>57</v>
      </c>
      <c r="H16" s="890">
        <f ca="1">+J16-E16</f>
        <v>17501</v>
      </c>
      <c r="I16" s="891" t="str">
        <f ca="1">+TEXT(H16/G16,"#,###명")&amp;TEXT(H16/G16-D16,"
 (전체대비 △#,###명);
( 전체대비 ▼#,###명)")</f>
        <v>307명
 (전체대비 △66명)</v>
      </c>
      <c r="J16" s="892" t="str">
        <f ca="1">+LEFT(HLOOKUP(C16,$C$74:$J$79,5,0),FIND("/",HLOOKUP(C16,$C$74:$J$79,5,0))-1)</f>
        <v>24,625</v>
      </c>
      <c r="N16" s="826"/>
    </row>
    <row r="17" spans="1:16" ht="19.5" customHeight="1" x14ac:dyDescent="0.25">
      <c r="B17" s="602" t="s">
        <v>224</v>
      </c>
      <c r="C17" s="524"/>
      <c r="D17" s="525"/>
      <c r="E17" s="526"/>
      <c r="F17" s="524"/>
      <c r="G17" s="527"/>
      <c r="H17" s="528"/>
      <c r="I17" s="529"/>
      <c r="J17" s="529"/>
      <c r="N17" s="826"/>
    </row>
    <row r="18" spans="1:16" ht="26.25" customHeight="1" x14ac:dyDescent="0.25">
      <c r="A18" s="594" t="s">
        <v>229</v>
      </c>
      <c r="N18" s="826"/>
    </row>
    <row r="19" spans="1:16" ht="33.75" customHeight="1" x14ac:dyDescent="0.25">
      <c r="A19" s="147"/>
      <c r="B19" s="297" t="s">
        <v>127</v>
      </c>
      <c r="C19" s="297"/>
      <c r="D19" s="297"/>
      <c r="E19" s="222" t="s">
        <v>110</v>
      </c>
      <c r="F19" s="221"/>
      <c r="G19" s="221"/>
      <c r="H19" s="576" t="s">
        <v>223</v>
      </c>
      <c r="I19" s="298"/>
      <c r="J19" s="298"/>
      <c r="N19" s="826"/>
    </row>
    <row r="20" spans="1:16" ht="27" customHeight="1" x14ac:dyDescent="0.25">
      <c r="B20" s="322">
        <f ca="1">+ROUND(LEFT(J78,FIND("/",J78)-1)+(J10*$E$9),-2)</f>
        <v>27200</v>
      </c>
      <c r="C20" s="322"/>
      <c r="D20" s="322"/>
      <c r="E20" s="323">
        <f ca="1">+ROUND(J8*E8,-2)</f>
        <v>19400</v>
      </c>
      <c r="F20" s="324"/>
      <c r="G20" s="324"/>
      <c r="H20" s="323">
        <f>+$I$93</f>
        <v>15768</v>
      </c>
      <c r="I20" s="323"/>
      <c r="J20" s="323"/>
      <c r="L20" s="195">
        <f ca="1">+ROUND(I8+H8*J8,-2)</f>
        <v>19400</v>
      </c>
      <c r="M20" s="195" t="b">
        <f ca="1">+L20=E20</f>
        <v>1</v>
      </c>
      <c r="N20" s="826"/>
    </row>
    <row r="21" spans="1:16" ht="20.25" customHeight="1" x14ac:dyDescent="0.25">
      <c r="B21" s="557">
        <f ca="1">+B20/$E$8</f>
        <v>292.47311827956992</v>
      </c>
      <c r="C21" s="558"/>
      <c r="D21" s="558"/>
      <c r="E21" s="559">
        <f ca="1">+E20/$E$8</f>
        <v>208.6021505376344</v>
      </c>
      <c r="F21" s="560"/>
      <c r="G21" s="560"/>
      <c r="H21" s="559">
        <f>+H20/$E$8</f>
        <v>169.54838709677421</v>
      </c>
      <c r="I21" s="561"/>
      <c r="J21" s="561"/>
      <c r="L21" s="195"/>
      <c r="M21" s="195"/>
      <c r="N21" s="826"/>
    </row>
    <row r="22" spans="1:16" ht="23.25" customHeight="1" x14ac:dyDescent="0.25">
      <c r="B22" s="602" t="s">
        <v>224</v>
      </c>
      <c r="C22" s="531"/>
      <c r="D22" s="531"/>
      <c r="E22" s="530"/>
      <c r="F22" s="457"/>
      <c r="G22" s="457"/>
      <c r="H22" s="530" t="s">
        <v>236</v>
      </c>
      <c r="I22" s="532"/>
      <c r="J22" s="532"/>
      <c r="L22" s="195"/>
      <c r="M22" s="195"/>
      <c r="N22" s="826"/>
    </row>
    <row r="23" spans="1:16" ht="29.25" customHeight="1" thickBot="1" x14ac:dyDescent="0.3">
      <c r="A23" s="594" t="s">
        <v>228</v>
      </c>
      <c r="N23" s="826"/>
    </row>
    <row r="24" spans="1:16" ht="29.25" customHeight="1" x14ac:dyDescent="0.25">
      <c r="B24" s="231" t="s">
        <v>29</v>
      </c>
      <c r="C24" s="281">
        <f>+F8</f>
        <v>45</v>
      </c>
      <c r="D24" s="240">
        <f>+C24-1</f>
        <v>44</v>
      </c>
      <c r="E24" s="230">
        <f t="shared" ref="E24:I24" si="1">+D24-1</f>
        <v>43</v>
      </c>
      <c r="F24" s="230">
        <f t="shared" si="1"/>
        <v>42</v>
      </c>
      <c r="G24" s="230">
        <f t="shared" si="1"/>
        <v>41</v>
      </c>
      <c r="H24" s="230">
        <f t="shared" si="1"/>
        <v>40</v>
      </c>
      <c r="I24" s="230">
        <f t="shared" si="1"/>
        <v>39</v>
      </c>
      <c r="J24" s="121"/>
      <c r="N24" s="826"/>
      <c r="P24" s="230">
        <f>+I24-1</f>
        <v>38</v>
      </c>
    </row>
    <row r="25" spans="1:16" ht="22.5" customHeight="1" x14ac:dyDescent="0.25">
      <c r="B25" s="232" t="s">
        <v>69</v>
      </c>
      <c r="C25" s="249">
        <f>+$N$1</f>
        <v>45390</v>
      </c>
      <c r="D25" s="241">
        <f>+C25-1</f>
        <v>45389</v>
      </c>
      <c r="E25" s="126">
        <f>+D25-1</f>
        <v>45388</v>
      </c>
      <c r="F25" s="126">
        <f>+E25-1</f>
        <v>45387</v>
      </c>
      <c r="G25" s="126">
        <f>+F25-1</f>
        <v>45386</v>
      </c>
      <c r="H25" s="126">
        <f>+G25-1</f>
        <v>45385</v>
      </c>
      <c r="I25" s="126">
        <f>+H25-1</f>
        <v>45384</v>
      </c>
      <c r="J25" s="282" t="s">
        <v>122</v>
      </c>
      <c r="N25" s="826"/>
      <c r="P25" s="836" t="str">
        <f>+TEXT(I25-1,"yy-mm-dd")&amp;" (직전1주일  동일요일  기준)"</f>
        <v>24-04-01 (직전1주일  동일요일  기준)</v>
      </c>
    </row>
    <row r="26" spans="1:16" ht="22.5" customHeight="1" thickBot="1" x14ac:dyDescent="0.3">
      <c r="B26" s="232" t="s">
        <v>70</v>
      </c>
      <c r="C26" s="250" t="str">
        <f>+TEXT(C25,"aaa")</f>
        <v>월</v>
      </c>
      <c r="D26" s="242" t="str">
        <f t="shared" ref="D26:I26" si="2">+TEXT(D25,"aaa")</f>
        <v>일</v>
      </c>
      <c r="E26" s="124" t="str">
        <f t="shared" si="2"/>
        <v>토</v>
      </c>
      <c r="F26" s="124" t="str">
        <f t="shared" si="2"/>
        <v>금</v>
      </c>
      <c r="G26" s="124" t="str">
        <f t="shared" si="2"/>
        <v>목</v>
      </c>
      <c r="H26" s="124" t="str">
        <f t="shared" si="2"/>
        <v>수</v>
      </c>
      <c r="I26" s="124" t="str">
        <f t="shared" si="2"/>
        <v>화</v>
      </c>
      <c r="J26" s="125" t="s">
        <v>130</v>
      </c>
      <c r="N26" s="826"/>
      <c r="P26" s="364" t="str">
        <f t="shared" ref="P26" si="3">+TEXT(P25,"aaa")</f>
        <v>24-04-01 (직전1주일  동일요일  기준)</v>
      </c>
    </row>
    <row r="27" spans="1:16" ht="23.25" customHeight="1" x14ac:dyDescent="0.25">
      <c r="B27" s="668" t="s">
        <v>24</v>
      </c>
      <c r="C27" s="669">
        <f>+SUMPRODUCT((요약!$D$11:$L$136)*(요약!$D$6:$L$6=$B27)*(요약!$C$11:$C$136=C$24))</f>
        <v>143</v>
      </c>
      <c r="D27" s="670">
        <f>+SUMPRODUCT((요약!$D$11:$L$136)*(요약!$D$6:$L$6=$B27)*(요약!$C$11:$C$136=D$24))</f>
        <v>302</v>
      </c>
      <c r="E27" s="671">
        <f>+SUMPRODUCT((요약!$D$11:$L$136)*(요약!$D$6:$L$6=$B27)*(요약!$C$11:$C$136=E$24))</f>
        <v>343</v>
      </c>
      <c r="F27" s="671">
        <f>+SUMPRODUCT((요약!$D$11:$L$136)*(요약!$D$6:$L$6=$B27)*(요약!$C$11:$C$136=F$24))</f>
        <v>308</v>
      </c>
      <c r="G27" s="671">
        <f>+SUMPRODUCT((요약!$D$11:$L$136)*(요약!$D$6:$L$6=$B27)*(요약!$C$11:$C$136=G$24))</f>
        <v>116</v>
      </c>
      <c r="H27" s="671">
        <f>+SUMPRODUCT((요약!$D$11:$L$136)*(요약!$D$6:$L$6=$B27)*(요약!$C$11:$C$136=H$24))</f>
        <v>147</v>
      </c>
      <c r="I27" s="671">
        <f>+SUMPRODUCT((요약!$D$11:$L$136)*(요약!$D$6:$L$6=$B27)*(요약!$C$11:$C$136=I$24))</f>
        <v>103</v>
      </c>
      <c r="J27" s="898"/>
      <c r="M27" s="36" t="s">
        <v>289</v>
      </c>
      <c r="N27" s="826">
        <f>+C27-D27</f>
        <v>-159</v>
      </c>
      <c r="P27" s="671">
        <f>+C27</f>
        <v>143</v>
      </c>
    </row>
    <row r="28" spans="1:16" ht="23.25" customHeight="1" x14ac:dyDescent="0.25">
      <c r="B28" s="817" t="s">
        <v>243</v>
      </c>
      <c r="C28" s="818">
        <f>+C27-($L28/$E$8)</f>
        <v>-72.053763440860223</v>
      </c>
      <c r="D28" s="819">
        <f t="shared" ref="D28:I28" si="4">+D27-($L28/$E$8)</f>
        <v>86.946236559139777</v>
      </c>
      <c r="E28" s="820">
        <f t="shared" si="4"/>
        <v>127.94623655913978</v>
      </c>
      <c r="F28" s="820">
        <f t="shared" si="4"/>
        <v>92.946236559139777</v>
      </c>
      <c r="G28" s="820">
        <f t="shared" si="4"/>
        <v>-99.053763440860223</v>
      </c>
      <c r="H28" s="820">
        <f t="shared" si="4"/>
        <v>-68.053763440860223</v>
      </c>
      <c r="I28" s="820">
        <f t="shared" si="4"/>
        <v>-112.05376344086022</v>
      </c>
      <c r="J28" s="899"/>
      <c r="L28" s="195">
        <v>20000</v>
      </c>
      <c r="N28" s="827"/>
    </row>
    <row r="29" spans="1:16" ht="23.25" customHeight="1" thickBot="1" x14ac:dyDescent="0.3">
      <c r="B29" s="821" t="s">
        <v>244</v>
      </c>
      <c r="C29" s="822">
        <f>+C27-($L29/$E$8)</f>
        <v>-125.81720430107526</v>
      </c>
      <c r="D29" s="823">
        <f t="shared" ref="D29:I29" si="5">+D27-($L29/$E$8)</f>
        <v>33.182795698924735</v>
      </c>
      <c r="E29" s="824">
        <f t="shared" si="5"/>
        <v>74.182795698924735</v>
      </c>
      <c r="F29" s="824">
        <f t="shared" si="5"/>
        <v>39.182795698924735</v>
      </c>
      <c r="G29" s="824">
        <f t="shared" si="5"/>
        <v>-152.81720430107526</v>
      </c>
      <c r="H29" s="824">
        <f t="shared" si="5"/>
        <v>-121.81720430107526</v>
      </c>
      <c r="I29" s="824">
        <f t="shared" si="5"/>
        <v>-165.81720430107526</v>
      </c>
      <c r="J29" s="900"/>
      <c r="L29" s="195">
        <v>25000</v>
      </c>
      <c r="N29" s="827"/>
    </row>
    <row r="30" spans="1:16" ht="23.25" customHeight="1" x14ac:dyDescent="0.25">
      <c r="B30" s="96" t="s">
        <v>32</v>
      </c>
      <c r="C30" s="271">
        <f>+SUMPRODUCT((요약!$D$11:$L$136)*(요약!$D$6:$L$6=$B30)*(요약!$C$11:$C$136=C$24))</f>
        <v>126</v>
      </c>
      <c r="D30" s="244">
        <f>+SUMPRODUCT((요약!$D$11:$L$136)*(요약!$D$6:$L$6=$B30)*(요약!$C$11:$C$136=D$24))</f>
        <v>161</v>
      </c>
      <c r="E30" s="44">
        <f>+SUMPRODUCT((요약!$D$11:$L$136)*(요약!$D$6:$L$6=$B30)*(요약!$C$11:$C$136=E$24))</f>
        <v>135</v>
      </c>
      <c r="F30" s="44">
        <f>+SUMPRODUCT((요약!$D$11:$L$136)*(요약!$D$6:$L$6=$B30)*(요약!$C$11:$C$136=F$24))</f>
        <v>0</v>
      </c>
      <c r="G30" s="44">
        <f>+SUMPRODUCT((요약!$D$11:$L$136)*(요약!$D$6:$L$6=$B30)*(요약!$C$11:$C$136=G$24))</f>
        <v>427</v>
      </c>
      <c r="H30" s="44">
        <f>+SUMPRODUCT((요약!$D$11:$L$136)*(요약!$D$6:$L$6=$B30)*(요약!$C$11:$C$136=H$24))</f>
        <v>487</v>
      </c>
      <c r="I30" s="44">
        <f>+SUMPRODUCT((요약!$D$11:$L$136)*(요약!$D$6:$L$6=$B30)*(요약!$C$11:$C$136=I$24))</f>
        <v>151</v>
      </c>
      <c r="J30" s="64"/>
      <c r="N30" s="827"/>
      <c r="P30" s="44">
        <f>+SUMPRODUCT((요약!$D$11:$L$136)*(요약!$D$6:$L$6=$B30)*(요약!$C$11:$C$136=P$24))</f>
        <v>95</v>
      </c>
    </row>
    <row r="31" spans="1:16" ht="23.25" customHeight="1" x14ac:dyDescent="0.25">
      <c r="B31" s="96" t="s">
        <v>30</v>
      </c>
      <c r="C31" s="271">
        <f>+SUMPRODUCT((요약!$D$11:$L$136)*(요약!$D$6:$L$6=$B31)*(요약!$C$11:$C$136=C$24))</f>
        <v>159</v>
      </c>
      <c r="D31" s="244">
        <f>+SUMPRODUCT((요약!$D$11:$L$136)*(요약!$D$6:$L$6=$B31)*(요약!$C$11:$C$136=D$24))</f>
        <v>74</v>
      </c>
      <c r="E31" s="44">
        <f>+SUMPRODUCT((요약!$D$11:$L$136)*(요약!$D$6:$L$6=$B31)*(요약!$C$11:$C$136=E$24))</f>
        <v>102</v>
      </c>
      <c r="F31" s="44">
        <f>+SUMPRODUCT((요약!$D$11:$L$136)*(요약!$D$6:$L$6=$B31)*(요약!$C$11:$C$136=F$24))</f>
        <v>122</v>
      </c>
      <c r="G31" s="44">
        <f>+SUMPRODUCT((요약!$D$11:$L$136)*(요약!$D$6:$L$6=$B31)*(요약!$C$11:$C$136=G$24))</f>
        <v>25</v>
      </c>
      <c r="H31" s="44">
        <f>+SUMPRODUCT((요약!$D$11:$L$136)*(요약!$D$6:$L$6=$B31)*(요약!$C$11:$C$136=H$24))</f>
        <v>158</v>
      </c>
      <c r="I31" s="44">
        <f>+SUMPRODUCT((요약!$D$11:$L$136)*(요약!$D$6:$L$6=$B31)*(요약!$C$11:$C$136=I$24))</f>
        <v>195</v>
      </c>
      <c r="J31" s="64"/>
      <c r="N31" s="827"/>
      <c r="P31" s="44">
        <f>+SUMPRODUCT((요약!$D$11:$L$136)*(요약!$D$6:$L$6=$B31)*(요약!$C$11:$C$136=P$24))</f>
        <v>68</v>
      </c>
    </row>
    <row r="32" spans="1:16" ht="23.25" customHeight="1" x14ac:dyDescent="0.25">
      <c r="B32" s="96" t="s">
        <v>31</v>
      </c>
      <c r="C32" s="271">
        <f>+SUMPRODUCT((요약!$D$11:$L$136)*(요약!$D$6:$L$6=$B32)*(요약!$C$11:$C$136=C$24))</f>
        <v>258</v>
      </c>
      <c r="D32" s="244">
        <f>+SUMPRODUCT((요약!$D$11:$L$136)*(요약!$D$6:$L$6=$B32)*(요약!$C$11:$C$136=D$24))</f>
        <v>507</v>
      </c>
      <c r="E32" s="44">
        <f>+SUMPRODUCT((요약!$D$11:$L$136)*(요약!$D$6:$L$6=$B32)*(요약!$C$11:$C$136=E$24))</f>
        <v>638</v>
      </c>
      <c r="F32" s="44">
        <f>+SUMPRODUCT((요약!$D$11:$L$136)*(요약!$D$6:$L$6=$B32)*(요약!$C$11:$C$136=F$24))</f>
        <v>256</v>
      </c>
      <c r="G32" s="44">
        <f>+SUMPRODUCT((요약!$D$11:$L$136)*(요약!$D$6:$L$6=$B32)*(요약!$C$11:$C$136=G$24))</f>
        <v>186</v>
      </c>
      <c r="H32" s="44">
        <f>+SUMPRODUCT((요약!$D$11:$L$136)*(요약!$D$6:$L$6=$B32)*(요약!$C$11:$C$136=H$24))</f>
        <v>198</v>
      </c>
      <c r="I32" s="44">
        <f>+SUMPRODUCT((요약!$D$11:$L$136)*(요약!$D$6:$L$6=$B32)*(요약!$C$11:$C$136=I$24))</f>
        <v>677</v>
      </c>
      <c r="J32" s="812"/>
      <c r="N32" s="827"/>
      <c r="P32" s="44">
        <f>+SUMPRODUCT((요약!$D$11:$L$136)*(요약!$D$6:$L$6=$B32)*(요약!$C$11:$C$136=P$24))</f>
        <v>695</v>
      </c>
    </row>
    <row r="33" spans="1:22" ht="23.25" customHeight="1" x14ac:dyDescent="0.25">
      <c r="B33" s="96" t="s">
        <v>33</v>
      </c>
      <c r="C33" s="271">
        <f>+SUMPRODUCT((요약!$D$11:$L$136)*(요약!$D$6:$L$6=$B33)*(요약!$C$11:$C$136=C$24))</f>
        <v>295</v>
      </c>
      <c r="D33" s="244">
        <f>+SUMPRODUCT((요약!$D$11:$L$136)*(요약!$D$6:$L$6=$B33)*(요약!$C$11:$C$136=D$24))</f>
        <v>0</v>
      </c>
      <c r="E33" s="44">
        <f>+SUMPRODUCT((요약!$D$11:$L$136)*(요약!$D$6:$L$6=$B33)*(요약!$C$11:$C$136=E$24))</f>
        <v>0</v>
      </c>
      <c r="F33" s="44">
        <f>+SUMPRODUCT((요약!$D$11:$L$136)*(요약!$D$6:$L$6=$B33)*(요약!$C$11:$C$136=F$24))</f>
        <v>127</v>
      </c>
      <c r="G33" s="44">
        <f>+SUMPRODUCT((요약!$D$11:$L$136)*(요약!$D$6:$L$6=$B33)*(요약!$C$11:$C$136=G$24))</f>
        <v>138</v>
      </c>
      <c r="H33" s="44">
        <f>+SUMPRODUCT((요약!$D$11:$L$136)*(요약!$D$6:$L$6=$B33)*(요약!$C$11:$C$136=H$24))</f>
        <v>76</v>
      </c>
      <c r="I33" s="44">
        <f>+SUMPRODUCT((요약!$D$11:$L$136)*(요약!$D$6:$L$6=$B33)*(요약!$C$11:$C$136=I$24))</f>
        <v>96</v>
      </c>
      <c r="J33" s="64"/>
      <c r="N33" s="827"/>
      <c r="P33" s="44">
        <f>+SUMPRODUCT((요약!$D$11:$L$136)*(요약!$D$6:$L$6=$B33)*(요약!$C$11:$C$136=P$24))</f>
        <v>275</v>
      </c>
    </row>
    <row r="34" spans="1:22" ht="23.25" customHeight="1" x14ac:dyDescent="0.25">
      <c r="B34" s="96" t="s">
        <v>34</v>
      </c>
      <c r="C34" s="271">
        <f>+SUMPRODUCT((요약!$D$11:$L$136)*(요약!$D$6:$L$6=$B34)*(요약!$C$11:$C$136=C$24))</f>
        <v>138</v>
      </c>
      <c r="D34" s="244">
        <f>+SUMPRODUCT((요약!$D$11:$L$136)*(요약!$D$6:$L$6=$B34)*(요약!$C$11:$C$136=D$24))</f>
        <v>170</v>
      </c>
      <c r="E34" s="44">
        <f>+SUMPRODUCT((요약!$D$11:$L$136)*(요약!$D$6:$L$6=$B34)*(요약!$C$11:$C$136=E$24))</f>
        <v>173</v>
      </c>
      <c r="F34" s="44">
        <f>+SUMPRODUCT((요약!$D$11:$L$136)*(요약!$D$6:$L$6=$B34)*(요약!$C$11:$C$136=F$24))</f>
        <v>406</v>
      </c>
      <c r="G34" s="44">
        <f>+SUMPRODUCT((요약!$D$11:$L$136)*(요약!$D$6:$L$6=$B34)*(요약!$C$11:$C$136=G$24))</f>
        <v>656</v>
      </c>
      <c r="H34" s="44">
        <f>+SUMPRODUCT((요약!$D$11:$L$136)*(요약!$D$6:$L$6=$B34)*(요약!$C$11:$C$136=H$24))</f>
        <v>274</v>
      </c>
      <c r="I34" s="44">
        <f>+SUMPRODUCT((요약!$D$11:$L$136)*(요약!$D$6:$L$6=$B34)*(요약!$C$11:$C$136=I$24))</f>
        <v>182</v>
      </c>
      <c r="J34" s="122"/>
      <c r="N34" s="827"/>
      <c r="P34" s="44">
        <f>+SUMPRODUCT((요약!$D$11:$L$136)*(요약!$D$6:$L$6=$B34)*(요약!$C$11:$C$136=P$24))</f>
        <v>163</v>
      </c>
    </row>
    <row r="35" spans="1:22" ht="23.25" customHeight="1" x14ac:dyDescent="0.25">
      <c r="B35" s="234" t="s">
        <v>35</v>
      </c>
      <c r="C35" s="271">
        <f>+SUMPRODUCT((요약!$D$11:$L$136)*(요약!$D$6:$L$6=$B35)*(요약!$C$11:$C$136=C$24))</f>
        <v>465</v>
      </c>
      <c r="D35" s="244">
        <f>+SUMPRODUCT((요약!$D$11:$L$136)*(요약!$D$6:$L$6=$B35)*(요약!$C$11:$C$136=D$24))</f>
        <v>177</v>
      </c>
      <c r="E35" s="44">
        <f>+SUMPRODUCT((요약!$D$11:$L$136)*(요약!$D$6:$L$6=$B35)*(요약!$C$11:$C$136=E$24))</f>
        <v>133</v>
      </c>
      <c r="F35" s="44">
        <f>+SUMPRODUCT((요약!$D$11:$L$136)*(요약!$D$6:$L$6=$B35)*(요약!$C$11:$C$136=F$24))</f>
        <v>157</v>
      </c>
      <c r="G35" s="44">
        <f>+SUMPRODUCT((요약!$D$11:$L$136)*(요약!$D$6:$L$6=$B35)*(요약!$C$11:$C$136=G$24))</f>
        <v>106</v>
      </c>
      <c r="H35" s="44">
        <f>+SUMPRODUCT((요약!$D$11:$L$136)*(요약!$D$6:$L$6=$B35)*(요약!$C$11:$C$136=H$24))</f>
        <v>0</v>
      </c>
      <c r="I35" s="44">
        <f>+SUMPRODUCT((요약!$D$11:$L$136)*(요약!$D$6:$L$6=$B35)*(요약!$C$11:$C$136=I$24))</f>
        <v>355</v>
      </c>
      <c r="J35" s="122"/>
      <c r="N35" s="827"/>
      <c r="P35" s="44">
        <f>+SUMPRODUCT((요약!$D$11:$L$136)*(요약!$D$6:$L$6=$B35)*(요약!$C$11:$C$136=P$24))</f>
        <v>372</v>
      </c>
    </row>
    <row r="36" spans="1:22" ht="23.25" customHeight="1" x14ac:dyDescent="0.25">
      <c r="B36" s="234" t="s">
        <v>36</v>
      </c>
      <c r="C36" s="271">
        <f>+SUMPRODUCT((요약!$D$11:$L$136)*(요약!$D$6:$L$6=$B36)*(요약!$C$11:$C$136=C$24))</f>
        <v>158</v>
      </c>
      <c r="D36" s="244">
        <f>+SUMPRODUCT((요약!$D$11:$L$136)*(요약!$D$6:$L$6=$B36)*(요약!$C$11:$C$136=D$24))</f>
        <v>251</v>
      </c>
      <c r="E36" s="44">
        <f>+SUMPRODUCT((요약!$D$11:$L$136)*(요약!$D$6:$L$6=$B36)*(요약!$C$11:$C$136=E$24))</f>
        <v>76</v>
      </c>
      <c r="F36" s="44">
        <f>+SUMPRODUCT((요약!$D$11:$L$136)*(요약!$D$6:$L$6=$B36)*(요약!$C$11:$C$136=F$24))</f>
        <v>51</v>
      </c>
      <c r="G36" s="44">
        <f>+SUMPRODUCT((요약!$D$11:$L$136)*(요약!$D$6:$L$6=$B36)*(요약!$C$11:$C$136=G$24))</f>
        <v>105</v>
      </c>
      <c r="H36" s="44">
        <f>+SUMPRODUCT((요약!$D$11:$L$136)*(요약!$D$6:$L$6=$B36)*(요약!$C$11:$C$136=H$24))</f>
        <v>99</v>
      </c>
      <c r="I36" s="44">
        <f>+SUMPRODUCT((요약!$D$11:$L$136)*(요약!$D$6:$L$6=$B36)*(요약!$C$11:$C$136=I$24))</f>
        <v>0</v>
      </c>
      <c r="J36" s="812"/>
      <c r="N36" s="827"/>
      <c r="P36" s="44">
        <f>+SUMPRODUCT((요약!$D$11:$L$136)*(요약!$D$6:$L$6=$B36)*(요약!$C$11:$C$136=P$24))</f>
        <v>224</v>
      </c>
    </row>
    <row r="37" spans="1:22" ht="23.25" customHeight="1" x14ac:dyDescent="0.25">
      <c r="B37" s="235" t="s">
        <v>37</v>
      </c>
      <c r="C37" s="271">
        <f>+SUMPRODUCT((요약!$D$11:$L$136)*(요약!$D$6:$L$6=$B37)*(요약!$C$11:$C$136=C$24))</f>
        <v>1461</v>
      </c>
      <c r="D37" s="244">
        <f>+SUMPRODUCT((요약!$D$11:$L$136)*(요약!$D$6:$L$6=$B37)*(요약!$C$11:$C$136=D$24))</f>
        <v>755</v>
      </c>
      <c r="E37" s="44">
        <f>+SUMPRODUCT((요약!$D$11:$L$136)*(요약!$D$6:$L$6=$B37)*(요약!$C$11:$C$136=E$24))</f>
        <v>561</v>
      </c>
      <c r="F37" s="44">
        <f>+SUMPRODUCT((요약!$D$11:$L$136)*(요약!$D$6:$L$6=$B37)*(요약!$C$11:$C$136=F$24))</f>
        <v>697</v>
      </c>
      <c r="G37" s="44">
        <f>+SUMPRODUCT((요약!$D$11:$L$136)*(요약!$D$6:$L$6=$B37)*(요약!$C$11:$C$136=G$24))</f>
        <v>579</v>
      </c>
      <c r="H37" s="44">
        <f>+SUMPRODUCT((요약!$D$11:$L$136)*(요약!$D$6:$L$6=$B37)*(요약!$C$11:$C$136=H$24))</f>
        <v>617</v>
      </c>
      <c r="I37" s="44">
        <f>+SUMPRODUCT((요약!$D$11:$L$136)*(요약!$D$6:$L$6=$B37)*(요약!$C$11:$C$136=I$24))</f>
        <v>1300</v>
      </c>
      <c r="J37" s="67"/>
      <c r="N37" s="827"/>
      <c r="P37" s="44">
        <f>+SUMPRODUCT((요약!$D$11:$L$136)*(요약!$D$6:$L$6=$B37)*(요약!$C$11:$C$136=P$24))</f>
        <v>1776</v>
      </c>
    </row>
    <row r="38" spans="1:22" ht="23.25" customHeight="1" x14ac:dyDescent="0.25">
      <c r="B38" s="236" t="s">
        <v>129</v>
      </c>
      <c r="C38" s="801">
        <f t="shared" ref="C38:I38" si="6">+AVERAGE(C30:C37)</f>
        <v>382.5</v>
      </c>
      <c r="D38" s="790">
        <f t="shared" si="6"/>
        <v>261.875</v>
      </c>
      <c r="E38" s="176">
        <f t="shared" si="6"/>
        <v>227.25</v>
      </c>
      <c r="F38" s="176">
        <f t="shared" si="6"/>
        <v>227</v>
      </c>
      <c r="G38" s="176">
        <f t="shared" si="6"/>
        <v>277.75</v>
      </c>
      <c r="H38" s="176">
        <f t="shared" si="6"/>
        <v>238.625</v>
      </c>
      <c r="I38" s="176">
        <f t="shared" si="6"/>
        <v>369.5</v>
      </c>
      <c r="J38" s="64"/>
      <c r="N38" s="828" t="str">
        <f>+TEXT(C38,"타전시평균 #,###명")</f>
        <v>타전시평균 383명</v>
      </c>
      <c r="P38" s="801" t="str">
        <f>+TEXT(AVERAGE(P30:P37),"타전시평균 #,###명")</f>
        <v>타전시평균 459명</v>
      </c>
      <c r="Q38" s="195">
        <f>+AVERAGE(P30:P37)</f>
        <v>458.5</v>
      </c>
      <c r="V38" s="36" t="s">
        <v>272</v>
      </c>
    </row>
    <row r="39" spans="1:22" ht="23.25" customHeight="1" x14ac:dyDescent="0.25">
      <c r="B39" s="237" t="s">
        <v>64</v>
      </c>
      <c r="C39" s="791">
        <f>+C27-C38</f>
        <v>-239.5</v>
      </c>
      <c r="D39" s="792">
        <f t="shared" ref="D39:I39" si="7">+D27-D38</f>
        <v>40.125</v>
      </c>
      <c r="E39" s="332">
        <f t="shared" si="7"/>
        <v>115.75</v>
      </c>
      <c r="F39" s="332">
        <f t="shared" si="7"/>
        <v>81</v>
      </c>
      <c r="G39" s="332">
        <f t="shared" si="7"/>
        <v>-161.75</v>
      </c>
      <c r="H39" s="332">
        <f t="shared" si="7"/>
        <v>-91.625</v>
      </c>
      <c r="I39" s="332">
        <f t="shared" si="7"/>
        <v>-266.5</v>
      </c>
      <c r="J39" s="624">
        <f>+C38-AVERAGE(D38:I38)</f>
        <v>115.5</v>
      </c>
      <c r="N39" s="842" t="str">
        <f>+TEXT(C39,"△ #,###명;▼ #,###명")</f>
        <v>▼ 240명</v>
      </c>
      <c r="P39" s="840">
        <f>+P27-Q38</f>
        <v>-315.5</v>
      </c>
    </row>
    <row r="40" spans="1:22" ht="23.25" customHeight="1" x14ac:dyDescent="0.25">
      <c r="B40" s="238" t="s">
        <v>65</v>
      </c>
      <c r="C40" s="897">
        <f>+AVERAGE(C36,C35)</f>
        <v>311.5</v>
      </c>
      <c r="D40" s="894">
        <f t="shared" ref="D40:I40" si="8">+AVERAGE(D36,D35)</f>
        <v>214</v>
      </c>
      <c r="E40" s="895">
        <f t="shared" si="8"/>
        <v>104.5</v>
      </c>
      <c r="F40" s="896">
        <f t="shared" si="8"/>
        <v>104</v>
      </c>
      <c r="G40" s="895">
        <f t="shared" si="8"/>
        <v>105.5</v>
      </c>
      <c r="H40" s="895">
        <f t="shared" si="8"/>
        <v>49.5</v>
      </c>
      <c r="I40" s="895">
        <f t="shared" si="8"/>
        <v>177.5</v>
      </c>
      <c r="J40" s="765"/>
      <c r="K40" s="864"/>
      <c r="L40" s="767"/>
      <c r="M40" s="767"/>
      <c r="N40" s="828" t="str">
        <f>+TEXT(C40,"국내평균 #,###명")</f>
        <v>국내평균 312명</v>
      </c>
      <c r="O40" s="766"/>
      <c r="P40" s="793" t="str">
        <f>+TEXT(AVERAGE(P36,P35),"국내평균 #,###명")</f>
        <v>국내평균 298명</v>
      </c>
      <c r="Q40" s="837">
        <f>+AVERAGE(P36,P35)</f>
        <v>298</v>
      </c>
      <c r="R40" s="767"/>
      <c r="S40" s="766"/>
      <c r="T40" s="767"/>
    </row>
    <row r="41" spans="1:22" ht="23.25" customHeight="1" thickBot="1" x14ac:dyDescent="0.3">
      <c r="B41" s="239" t="s">
        <v>64</v>
      </c>
      <c r="C41" s="893">
        <f>+C27-C40</f>
        <v>-168.5</v>
      </c>
      <c r="D41" s="796">
        <f t="shared" ref="D41:I41" si="9">+D27-D40</f>
        <v>88</v>
      </c>
      <c r="E41" s="331">
        <f t="shared" si="9"/>
        <v>238.5</v>
      </c>
      <c r="F41" s="763">
        <f t="shared" si="9"/>
        <v>204</v>
      </c>
      <c r="G41" s="331">
        <f t="shared" si="9"/>
        <v>10.5</v>
      </c>
      <c r="H41" s="331">
        <f t="shared" si="9"/>
        <v>97.5</v>
      </c>
      <c r="I41" s="331">
        <f t="shared" si="9"/>
        <v>-74.5</v>
      </c>
      <c r="J41" s="623">
        <f>+C40-AVERAGE(D40:I40)</f>
        <v>185.66666666666669</v>
      </c>
      <c r="K41" s="55"/>
      <c r="N41" s="842" t="str">
        <f>+TEXT(C41,"△ #,###명;▼ #,###명")</f>
        <v>▼ 169명</v>
      </c>
      <c r="O41" s="764"/>
      <c r="P41" s="841">
        <f>+P27-Q40</f>
        <v>-155</v>
      </c>
      <c r="S41" s="764"/>
    </row>
    <row r="42" spans="1:22" ht="17.25" customHeight="1" x14ac:dyDescent="0.25">
      <c r="B42" s="55" t="s">
        <v>242</v>
      </c>
      <c r="C42" s="320"/>
      <c r="D42" s="320"/>
    </row>
    <row r="43" spans="1:22" ht="29.25" hidden="1" customHeight="1" thickBot="1" x14ac:dyDescent="0.3">
      <c r="A43" s="275" t="s">
        <v>128</v>
      </c>
      <c r="C43" s="320"/>
      <c r="D43" s="320"/>
    </row>
    <row r="44" spans="1:22" ht="29.25" hidden="1" customHeight="1" x14ac:dyDescent="0.25">
      <c r="B44" s="231" t="s">
        <v>29</v>
      </c>
      <c r="C44" s="797">
        <f>+C24</f>
        <v>45</v>
      </c>
      <c r="D44" s="798">
        <f>+C44-1</f>
        <v>44</v>
      </c>
      <c r="E44" s="230">
        <f t="shared" ref="E44:I44" si="10">+D44-1</f>
        <v>43</v>
      </c>
      <c r="F44" s="230">
        <f t="shared" si="10"/>
        <v>42</v>
      </c>
      <c r="G44" s="230">
        <f t="shared" si="10"/>
        <v>41</v>
      </c>
      <c r="H44" s="230">
        <f t="shared" si="10"/>
        <v>40</v>
      </c>
      <c r="I44" s="230">
        <f t="shared" si="10"/>
        <v>39</v>
      </c>
      <c r="J44" s="121"/>
    </row>
    <row r="45" spans="1:22" ht="22.5" hidden="1" customHeight="1" x14ac:dyDescent="0.25">
      <c r="B45" s="232" t="s">
        <v>69</v>
      </c>
      <c r="C45" s="799">
        <f>+$N$1</f>
        <v>45390</v>
      </c>
      <c r="D45" s="800">
        <f>+C45-1</f>
        <v>45389</v>
      </c>
      <c r="E45" s="126">
        <f>+D45-1</f>
        <v>45388</v>
      </c>
      <c r="F45" s="126">
        <f>+E45-1</f>
        <v>45387</v>
      </c>
      <c r="G45" s="126">
        <f>+F45-1</f>
        <v>45386</v>
      </c>
      <c r="H45" s="126">
        <f>+G45-1</f>
        <v>45385</v>
      </c>
      <c r="I45" s="126">
        <f>+H45-1</f>
        <v>45384</v>
      </c>
      <c r="J45" s="370" t="s">
        <v>131</v>
      </c>
    </row>
    <row r="46" spans="1:22" ht="22.5" hidden="1" customHeight="1" thickBot="1" x14ac:dyDescent="0.3">
      <c r="B46" s="232" t="s">
        <v>70</v>
      </c>
      <c r="C46" s="250" t="str">
        <f>+TEXT(C45,"aaa")</f>
        <v>월</v>
      </c>
      <c r="D46" s="242" t="str">
        <f t="shared" ref="D46:I46" si="11">+TEXT(D45,"aaa")</f>
        <v>일</v>
      </c>
      <c r="E46" s="124" t="str">
        <f t="shared" si="11"/>
        <v>토</v>
      </c>
      <c r="F46" s="124" t="str">
        <f t="shared" si="11"/>
        <v>금</v>
      </c>
      <c r="G46" s="124" t="str">
        <f t="shared" si="11"/>
        <v>목</v>
      </c>
      <c r="H46" s="124" t="str">
        <f t="shared" si="11"/>
        <v>수</v>
      </c>
      <c r="I46" s="124" t="str">
        <f t="shared" si="11"/>
        <v>화</v>
      </c>
      <c r="J46" s="125"/>
    </row>
    <row r="47" spans="1:22" ht="23.25" hidden="1" customHeight="1" thickBot="1" x14ac:dyDescent="0.3">
      <c r="B47" s="272" t="s">
        <v>24</v>
      </c>
      <c r="C47" s="350" t="str">
        <f>+TEXT(SUMPRODUCT((요약!$D$11:$L$136)*(요약!$D$6:$L$6=$B47)*(요약!$C$11:$C$136&lt;=C$44))/C$44,"#,###")</f>
        <v>208</v>
      </c>
      <c r="D47" s="273">
        <f>+SUMPRODUCT((요약!$D$11:$L$136)*(요약!$D$6:$L$6=$B47)*(요약!$C$11:$C$136&lt;=D$44))/D$44</f>
        <v>209.84090909090909</v>
      </c>
      <c r="E47" s="274">
        <f>+SUMPRODUCT((요약!$D$11:$L$136)*(요약!$D$6:$L$6=$B47)*(요약!$C$11:$C$136&lt;=E$44))/E$44</f>
        <v>207.69767441860466</v>
      </c>
      <c r="F47" s="274">
        <f>+SUMPRODUCT((요약!$D$11:$L$136)*(요약!$D$6:$L$6=$B47)*(요약!$C$11:$C$136&lt;=F$44))/F$44</f>
        <v>204.47619047619048</v>
      </c>
      <c r="G47" s="274">
        <f>+SUMPRODUCT((요약!$D$11:$L$136)*(요약!$D$6:$L$6=$B47)*(요약!$C$11:$C$136&lt;=G$44))/G$44</f>
        <v>201.95121951219511</v>
      </c>
      <c r="H47" s="274">
        <f>+SUMPRODUCT((요약!$D$11:$L$136)*(요약!$D$6:$L$6=$B47)*(요약!$C$11:$C$136&lt;=H$44))/H$44</f>
        <v>204.1</v>
      </c>
      <c r="I47" s="274">
        <f>+SUMPRODUCT((요약!$D$11:$L$136)*(요약!$D$6:$L$6=$B47)*(요약!$C$11:$C$136&lt;=I$44))/I$44</f>
        <v>205.56410256410257</v>
      </c>
      <c r="J47" s="321"/>
      <c r="L47" s="364" t="s">
        <v>134</v>
      </c>
      <c r="M47" s="364" t="s">
        <v>135</v>
      </c>
    </row>
    <row r="48" spans="1:22" ht="24" hidden="1" customHeight="1" x14ac:dyDescent="0.25">
      <c r="B48" s="96" t="s">
        <v>32</v>
      </c>
      <c r="C48" s="351" t="str">
        <f>+TEXT(SUMPRODUCT((요약!$D$11:$L$136)*(요약!$D$6:$L$6=$B48)*(요약!$C$11:$C$136&lt;=C$44))/C$44,"#,###")&amp;"  " &amp;TEXT(SUMPRODUCT((요약!$D$11:$L$136)*(요약!$D$6:$L$6=$B48)*(요약!$C$11:$C$136&lt;=C$44))/C$44-$L48,"§ △#,### ;[빨강]§ ▼#,### ")</f>
        <v xml:space="preserve">223  § ▼72 </v>
      </c>
      <c r="D48" s="244" t="str">
        <f>+TEXT(SUMPRODUCT((요약!$D$11:$L$136)*(요약!$D$6:$L$6=$B48)*(요약!$C$11:$C$136&lt;=D$44))/D$44,"#,###")&amp;"  " &amp;TEXT(SUMPRODUCT((요약!$D$11:$L$136)*(요약!$D$6:$L$6=$B48)*(요약!$C$11:$C$136&lt;=D$44))/D$44-$M48,"§ △#,### ;[빨강]§ ▼#,### ")</f>
        <v xml:space="preserve">225  § △2 </v>
      </c>
      <c r="E48" s="44" t="str">
        <f>+TEXT(SUMPRODUCT((요약!$D$11:$L$136)*(요약!$D$6:$L$6=$B48)*(요약!$C$11:$C$136&lt;=E$44))/E$44,"#,###")&amp;"  " &amp;TEXT(SUMPRODUCT((요약!$D$11:$L$136)*(요약!$D$6:$L$6=$B48)*(요약!$C$11:$C$136&lt;=E$44))/E$44-$M48,"§ △#,### ;[빨강]§ ▼#,### ")</f>
        <v xml:space="preserve">226  § △4 </v>
      </c>
      <c r="F48" s="44" t="str">
        <f>+TEXT(SUMPRODUCT((요약!$D$11:$L$136)*(요약!$D$6:$L$6=$B48)*(요약!$C$11:$C$136&lt;=F$44))/F$44,"#,###")&amp;"  " &amp;TEXT(SUMPRODUCT((요약!$D$11:$L$136)*(요약!$D$6:$L$6=$B48)*(요약!$C$11:$C$136&lt;=F$44))/F$44-$M48,"§ △#,### ;[빨강]§ ▼#,### ")</f>
        <v xml:space="preserve">228  § △6 </v>
      </c>
      <c r="G48" s="44" t="str">
        <f>+TEXT(SUMPRODUCT((요약!$D$11:$L$136)*(요약!$D$6:$L$6=$B48)*(요약!$C$11:$C$136&lt;=G$44))/G$44,"#,###")&amp;"  " &amp;TEXT(SUMPRODUCT((요약!$D$11:$L$136)*(요약!$D$6:$L$6=$B48)*(요약!$C$11:$C$136&lt;=G$44))/G$44-$M48,"§ △#,### ;[빨강]§ ▼#,### ")</f>
        <v xml:space="preserve">234  § △11 </v>
      </c>
      <c r="H48" s="44" t="str">
        <f>+TEXT(SUMPRODUCT((요약!$D$11:$L$136)*(요약!$D$6:$L$6=$B48)*(요약!$C$11:$C$136&lt;=H$44))/H$44,"#,###")&amp;"  " &amp;TEXT(SUMPRODUCT((요약!$D$11:$L$136)*(요약!$D$6:$L$6=$B48)*(요약!$C$11:$C$136&lt;=H$44))/H$44-$M48,"§ △#,### ;[빨강]§ ▼#,### ")</f>
        <v xml:space="preserve">229  § △7 </v>
      </c>
      <c r="I48" s="44" t="str">
        <f>+TEXT(SUMPRODUCT((요약!$D$11:$L$136)*(요약!$D$6:$L$6=$B48)*(요약!$C$11:$C$136&lt;=I$44))/I$44,"#,###")&amp;"  " &amp;TEXT(SUMPRODUCT((요약!$D$11:$L$136)*(요약!$D$6:$L$6=$B48)*(요약!$C$11:$C$136&lt;=I$44))/I$44-$M48,"§ △#,### ;[빨강]§ ▼#,### ")</f>
        <v xml:space="preserve">223  § ▼ </v>
      </c>
      <c r="J48" s="371" t="str">
        <f>+TEXT(L48,"#,###") &amp; " &lt;" &amp;N48&amp; "&gt; "</f>
        <v xml:space="preserve">295 &lt;잔여호재&gt; </v>
      </c>
      <c r="L48" s="195">
        <f>+INDEX(요약!$D$3:$K$3,MATCH(B48,요약!$D$6:$K$6,0))</f>
        <v>294.86597938144331</v>
      </c>
      <c r="M48" s="363">
        <f>+SUMPRODUCT((요약!$D$11:$L$136)*(요약!$D$6:$L$6=$B48)*(요약!$C$11:$C$136&lt;=C$44))/C$44</f>
        <v>222.57777777777778</v>
      </c>
      <c r="N48" s="36" t="str">
        <f>+IF(L48&gt;M48,"잔여호재","잔여악재")</f>
        <v>잔여호재</v>
      </c>
    </row>
    <row r="49" spans="1:14" ht="24" hidden="1" customHeight="1" x14ac:dyDescent="0.25">
      <c r="B49" s="96" t="s">
        <v>30</v>
      </c>
      <c r="C49" s="351" t="str">
        <f>+TEXT(SUMPRODUCT((요약!$D$11:$L$136)*(요약!$D$6:$L$6=$B49)*(요약!$C$11:$C$136&lt;=C$44))/C$44,"#,###")&amp;"  " &amp;TEXT(SUMPRODUCT((요약!$D$11:$L$136)*(요약!$D$6:$L$6=$B49)*(요약!$C$11:$C$136&lt;=C$44))/C$44-$L49,"§ △#,### ;[빨강]§ ▼#,### ")</f>
        <v xml:space="preserve">128  § ▼59 </v>
      </c>
      <c r="D49" s="244" t="str">
        <f>+TEXT(SUMPRODUCT((요약!$D$11:$L$136)*(요약!$D$6:$L$6=$B49)*(요약!$C$11:$C$136&lt;=D$44))/D$44,"#,###")&amp;"  " &amp;TEXT(SUMPRODUCT((요약!$D$11:$L$136)*(요약!$D$6:$L$6=$B49)*(요약!$C$11:$C$136&lt;=D$44))/D$44-$M49,"§ △#,### ;[빨강]§ ▼#,### ")</f>
        <v xml:space="preserve">127  § ▼1 </v>
      </c>
      <c r="E49" s="44" t="str">
        <f>+TEXT(SUMPRODUCT((요약!$D$11:$L$136)*(요약!$D$6:$L$6=$B49)*(요약!$C$11:$C$136&lt;=E$44))/E$44,"#,###")&amp;"  " &amp;TEXT(SUMPRODUCT((요약!$D$11:$L$136)*(요약!$D$6:$L$6=$B49)*(요약!$C$11:$C$136&lt;=E$44))/E$44-$M49,"§ △#,### ;[빨강]§ ▼#,### ")</f>
        <v xml:space="preserve">128  § △1 </v>
      </c>
      <c r="F49" s="44" t="str">
        <f>+TEXT(SUMPRODUCT((요약!$D$11:$L$136)*(요약!$D$6:$L$6=$B49)*(요약!$C$11:$C$136&lt;=F$44))/F$44,"#,###")&amp;"  " &amp;TEXT(SUMPRODUCT((요약!$D$11:$L$136)*(요약!$D$6:$L$6=$B49)*(요약!$C$11:$C$136&lt;=F$44))/F$44-$M49,"§ △#,### ;[빨강]§ ▼#,### ")</f>
        <v xml:space="preserve">129  § △1 </v>
      </c>
      <c r="G49" s="44" t="str">
        <f>+TEXT(SUMPRODUCT((요약!$D$11:$L$136)*(요약!$D$6:$L$6=$B49)*(요약!$C$11:$C$136&lt;=G$44))/G$44,"#,###")&amp;"  " &amp;TEXT(SUMPRODUCT((요약!$D$11:$L$136)*(요약!$D$6:$L$6=$B49)*(요약!$C$11:$C$136&lt;=G$44))/G$44-$M49,"§ △#,### ;[빨강]§ ▼#,### ")</f>
        <v xml:space="preserve">129  § △1 </v>
      </c>
      <c r="H49" s="44" t="str">
        <f>+TEXT(SUMPRODUCT((요약!$D$11:$L$136)*(요약!$D$6:$L$6=$B49)*(요약!$C$11:$C$136&lt;=H$44))/H$44,"#,###")&amp;"  " &amp;TEXT(SUMPRODUCT((요약!$D$11:$L$136)*(요약!$D$6:$L$6=$B49)*(요약!$C$11:$C$136&lt;=H$44))/H$44-$M49,"§ △#,### ;[빨강]§ ▼#,### ")</f>
        <v xml:space="preserve">132  § △4 </v>
      </c>
      <c r="I49" s="44" t="str">
        <f>+TEXT(SUMPRODUCT((요약!$D$11:$L$136)*(요약!$D$6:$L$6=$B49)*(요약!$C$11:$C$136&lt;=I$44))/I$44,"#,###")&amp;"  " &amp;TEXT(SUMPRODUCT((요약!$D$11:$L$136)*(요약!$D$6:$L$6=$B49)*(요약!$C$11:$C$136&lt;=I$44))/I$44-$M49,"§ △#,### ;[빨강]§ ▼#,### ")</f>
        <v xml:space="preserve">131  § △3 </v>
      </c>
      <c r="J49" s="371" t="str">
        <f t="shared" ref="J49:J55" si="12">+TEXT(L49,"#,###") &amp; " &lt;" &amp;N49&amp; "&gt; "</f>
        <v xml:space="preserve">187 &lt;잔여호재&gt; </v>
      </c>
      <c r="L49" s="195">
        <f>+INDEX(요약!$D$3:$K$3,MATCH(B49,요약!$D$6:$K$6,0))</f>
        <v>186.89583333333334</v>
      </c>
      <c r="M49" s="363">
        <f>+SUMPRODUCT((요약!$D$11:$L$136)*(요약!$D$6:$L$6=$B49)*(요약!$C$11:$C$136&lt;=C$44))/C$44</f>
        <v>127.93333333333334</v>
      </c>
      <c r="N49" s="36" t="str">
        <f t="shared" ref="N49:N55" si="13">+IF(L49&gt;M49,"잔여호재","잔여악재")</f>
        <v>잔여호재</v>
      </c>
    </row>
    <row r="50" spans="1:14" ht="24" hidden="1" customHeight="1" x14ac:dyDescent="0.25">
      <c r="B50" s="96" t="s">
        <v>31</v>
      </c>
      <c r="C50" s="351" t="str">
        <f>+TEXT(SUMPRODUCT((요약!$D$11:$L$136)*(요약!$D$6:$L$6=$B50)*(요약!$C$11:$C$136&lt;=C$44))/C$44,"#,###")&amp;"  " &amp;TEXT(SUMPRODUCT((요약!$D$11:$L$136)*(요약!$D$6:$L$6=$B50)*(요약!$C$11:$C$136&lt;=C$44))/C$44-$L50,"§ △#,### ;[빨강]§ ▼#,### ")</f>
        <v xml:space="preserve">569  § △112 </v>
      </c>
      <c r="D50" s="244" t="str">
        <f>+TEXT(SUMPRODUCT((요약!$D$11:$L$136)*(요약!$D$6:$L$6=$B50)*(요약!$C$11:$C$136&lt;=D$44))/D$44,"#,###")&amp;"  " &amp;TEXT(SUMPRODUCT((요약!$D$11:$L$136)*(요약!$D$6:$L$6=$B50)*(요약!$C$11:$C$136&lt;=D$44))/D$44-$M50,"§ △#,### ;[빨강]§ ▼#,### ")</f>
        <v xml:space="preserve">577  § △7 </v>
      </c>
      <c r="E50" s="44" t="str">
        <f>+TEXT(SUMPRODUCT((요약!$D$11:$L$136)*(요약!$D$6:$L$6=$B50)*(요약!$C$11:$C$136&lt;=E$44))/E$44,"#,###")&amp;"  " &amp;TEXT(SUMPRODUCT((요약!$D$11:$L$136)*(요약!$D$6:$L$6=$B50)*(요약!$C$11:$C$136&lt;=E$44))/E$44-$M50,"§ △#,### ;[빨강]§ ▼#,### ")</f>
        <v xml:space="preserve">578  § △9 </v>
      </c>
      <c r="F50" s="44" t="str">
        <f>+TEXT(SUMPRODUCT((요약!$D$11:$L$136)*(요약!$D$6:$L$6=$B50)*(요약!$C$11:$C$136&lt;=F$44))/F$44,"#,###")&amp;"  " &amp;TEXT(SUMPRODUCT((요약!$D$11:$L$136)*(요약!$D$6:$L$6=$B50)*(요약!$C$11:$C$136&lt;=F$44))/F$44-$M50,"§ △#,### ;[빨강]§ ▼#,### ")</f>
        <v xml:space="preserve">577  § △7 </v>
      </c>
      <c r="G50" s="44" t="str">
        <f>+TEXT(SUMPRODUCT((요약!$D$11:$L$136)*(요약!$D$6:$L$6=$B50)*(요약!$C$11:$C$136&lt;=G$44))/G$44,"#,###")&amp;"  " &amp;TEXT(SUMPRODUCT((요약!$D$11:$L$136)*(요약!$D$6:$L$6=$B50)*(요약!$C$11:$C$136&lt;=G$44))/G$44-$M50,"§ △#,### ;[빨강]§ ▼#,### ")</f>
        <v xml:space="preserve">585  § △15 </v>
      </c>
      <c r="H50" s="44" t="str">
        <f>+TEXT(SUMPRODUCT((요약!$D$11:$L$136)*(요약!$D$6:$L$6=$B50)*(요약!$C$11:$C$136&lt;=H$44))/H$44,"#,###")&amp;"  " &amp;TEXT(SUMPRODUCT((요약!$D$11:$L$136)*(요약!$D$6:$L$6=$B50)*(요약!$C$11:$C$136&lt;=H$44))/H$44-$M50,"§ △#,### ;[빨강]§ ▼#,### ")</f>
        <v xml:space="preserve">595  § △25 </v>
      </c>
      <c r="I50" s="44" t="str">
        <f>+TEXT(SUMPRODUCT((요약!$D$11:$L$136)*(요약!$D$6:$L$6=$B50)*(요약!$C$11:$C$136&lt;=I$44))/I$44,"#,###")&amp;"  " &amp;TEXT(SUMPRODUCT((요약!$D$11:$L$136)*(요약!$D$6:$L$6=$B50)*(요약!$C$11:$C$136&lt;=I$44))/I$44-$M50,"§ △#,### ;[빨강]§ ▼#,### ")</f>
        <v xml:space="preserve">605  § △35 </v>
      </c>
      <c r="J50" s="372" t="str">
        <f t="shared" si="12"/>
        <v xml:space="preserve">457 &lt;잔여악재&gt; </v>
      </c>
      <c r="L50" s="195">
        <f>+INDEX(요약!$D$3:$K$3,MATCH(B50,요약!$D$6:$K$6,0))</f>
        <v>457.47311827956992</v>
      </c>
      <c r="M50" s="363">
        <f>+SUMPRODUCT((요약!$D$11:$L$136)*(요약!$D$6:$L$6=$B50)*(요약!$C$11:$C$136&lt;=C$44))/C$44</f>
        <v>569.48888888888894</v>
      </c>
      <c r="N50" s="36" t="str">
        <f t="shared" si="13"/>
        <v>잔여악재</v>
      </c>
    </row>
    <row r="51" spans="1:14" ht="24" hidden="1" customHeight="1" x14ac:dyDescent="0.25">
      <c r="B51" s="96" t="s">
        <v>33</v>
      </c>
      <c r="C51" s="351" t="str">
        <f>+TEXT(SUMPRODUCT((요약!$D$11:$L$136)*(요약!$D$6:$L$6=$B51)*(요약!$C$11:$C$136&lt;=C$44))/C$44,"#,###")&amp;"  " &amp;TEXT(SUMPRODUCT((요약!$D$11:$L$136)*(요약!$D$6:$L$6=$B51)*(요약!$C$11:$C$136&lt;=C$44))/C$44-$L51,"§ △#,### ;[빨강]§ ▼#,### ")</f>
        <v xml:space="preserve">263  § △14 </v>
      </c>
      <c r="D51" s="244" t="str">
        <f>+TEXT(SUMPRODUCT((요약!$D$11:$L$136)*(요약!$D$6:$L$6=$B51)*(요약!$C$11:$C$136&lt;=D$44))/D$44,"#,###")&amp;"  " &amp;TEXT(SUMPRODUCT((요약!$D$11:$L$136)*(요약!$D$6:$L$6=$B51)*(요약!$C$11:$C$136&lt;=D$44))/D$44-$M51,"§ △#,### ;[빨강]§ ▼#,### ")</f>
        <v xml:space="preserve">263  § ▼1 </v>
      </c>
      <c r="E51" s="44" t="str">
        <f>+TEXT(SUMPRODUCT((요약!$D$11:$L$136)*(요약!$D$6:$L$6=$B51)*(요약!$C$11:$C$136&lt;=E$44))/E$44,"#,###")&amp;"  " &amp;TEXT(SUMPRODUCT((요약!$D$11:$L$136)*(요약!$D$6:$L$6=$B51)*(요약!$C$11:$C$136&lt;=E$44))/E$44-$M51,"§ △#,### ;[빨강]§ ▼#,### ")</f>
        <v xml:space="preserve">269  § △5 </v>
      </c>
      <c r="F51" s="44" t="str">
        <f>+TEXT(SUMPRODUCT((요약!$D$11:$L$136)*(요약!$D$6:$L$6=$B51)*(요약!$C$11:$C$136&lt;=F$44))/F$44,"#,###")&amp;"  " &amp;TEXT(SUMPRODUCT((요약!$D$11:$L$136)*(요약!$D$6:$L$6=$B51)*(요약!$C$11:$C$136&lt;=F$44))/F$44-$M51,"§ △#,### ;[빨강]§ ▼#,### ")</f>
        <v xml:space="preserve">275  § △12 </v>
      </c>
      <c r="G51" s="44" t="str">
        <f>+TEXT(SUMPRODUCT((요약!$D$11:$L$136)*(요약!$D$6:$L$6=$B51)*(요약!$C$11:$C$136&lt;=G$44))/G$44,"#,###")&amp;"  " &amp;TEXT(SUMPRODUCT((요약!$D$11:$L$136)*(요약!$D$6:$L$6=$B51)*(요약!$C$11:$C$136&lt;=G$44))/G$44-$M51,"§ △#,### ;[빨강]§ ▼#,### ")</f>
        <v xml:space="preserve">279  § △15 </v>
      </c>
      <c r="H51" s="44" t="str">
        <f>+TEXT(SUMPRODUCT((요약!$D$11:$L$136)*(요약!$D$6:$L$6=$B51)*(요약!$C$11:$C$136&lt;=H$44))/H$44,"#,###")&amp;"  " &amp;TEXT(SUMPRODUCT((요약!$D$11:$L$136)*(요약!$D$6:$L$6=$B51)*(요약!$C$11:$C$136&lt;=H$44))/H$44-$M51,"§ △#,### ;[빨강]§ ▼#,### ")</f>
        <v xml:space="preserve">282  § △19 </v>
      </c>
      <c r="I51" s="44" t="str">
        <f>+TEXT(SUMPRODUCT((요약!$D$11:$L$136)*(요약!$D$6:$L$6=$B51)*(요약!$C$11:$C$136&lt;=I$44))/I$44,"#,###")&amp;"  " &amp;TEXT(SUMPRODUCT((요약!$D$11:$L$136)*(요약!$D$6:$L$6=$B51)*(요약!$C$11:$C$136&lt;=I$44))/I$44-$M51,"§ △#,### ;[빨강]§ ▼#,### ")</f>
        <v xml:space="preserve">288  § △24 </v>
      </c>
      <c r="J51" s="372" t="str">
        <f t="shared" si="12"/>
        <v xml:space="preserve">249 &lt;잔여악재&gt; </v>
      </c>
      <c r="L51" s="195">
        <f>+INDEX(요약!$D$3:$K$3,MATCH(B51,요약!$D$6:$K$6,0))</f>
        <v>249.42574257425741</v>
      </c>
      <c r="M51" s="363">
        <f>+SUMPRODUCT((요약!$D$11:$L$136)*(요약!$D$6:$L$6=$B51)*(요약!$C$11:$C$136&lt;=C$44))/C$44</f>
        <v>263.37777777777779</v>
      </c>
      <c r="N51" s="36" t="str">
        <f t="shared" si="13"/>
        <v>잔여악재</v>
      </c>
    </row>
    <row r="52" spans="1:14" ht="24" hidden="1" customHeight="1" x14ac:dyDescent="0.25">
      <c r="B52" s="96" t="s">
        <v>34</v>
      </c>
      <c r="C52" s="351" t="str">
        <f>+TEXT(SUMPRODUCT((요약!$D$11:$L$136)*(요약!$D$6:$L$6=$B52)*(요약!$C$11:$C$136&lt;=C$44))/C$44,"#,###")&amp;"  " &amp;TEXT(SUMPRODUCT((요약!$D$11:$L$136)*(요약!$D$6:$L$6=$B52)*(요약!$C$11:$C$136&lt;=C$44))/C$44-$L52,"§ △#,### ;[빨강]§ ▼#,### ")</f>
        <v xml:space="preserve">297  § ▼4 </v>
      </c>
      <c r="D52" s="244" t="str">
        <f>+TEXT(SUMPRODUCT((요약!$D$11:$L$136)*(요약!$D$6:$L$6=$B52)*(요약!$C$11:$C$136&lt;=D$44))/D$44,"#,###")&amp;"  " &amp;TEXT(SUMPRODUCT((요약!$D$11:$L$136)*(요약!$D$6:$L$6=$B52)*(요약!$C$11:$C$136&lt;=D$44))/D$44-$M52,"§ △#,### ;[빨강]§ ▼#,### ")</f>
        <v xml:space="preserve">301  § △4 </v>
      </c>
      <c r="E52" s="44" t="str">
        <f>+TEXT(SUMPRODUCT((요약!$D$11:$L$136)*(요약!$D$6:$L$6=$B52)*(요약!$C$11:$C$136&lt;=E$44))/E$44,"#,###")&amp;"  " &amp;TEXT(SUMPRODUCT((요약!$D$11:$L$136)*(요약!$D$6:$L$6=$B52)*(요약!$C$11:$C$136&lt;=E$44))/E$44-$M52,"§ △#,### ;[빨강]§ ▼#,### ")</f>
        <v xml:space="preserve">304  § △7 </v>
      </c>
      <c r="F52" s="44" t="str">
        <f>+TEXT(SUMPRODUCT((요약!$D$11:$L$136)*(요약!$D$6:$L$6=$B52)*(요약!$C$11:$C$136&lt;=F$44))/F$44,"#,###")&amp;"  " &amp;TEXT(SUMPRODUCT((요약!$D$11:$L$136)*(요약!$D$6:$L$6=$B52)*(요약!$C$11:$C$136&lt;=F$44))/F$44-$M52,"§ △#,### ;[빨강]§ ▼#,### ")</f>
        <v xml:space="preserve">307  § △10 </v>
      </c>
      <c r="G52" s="44" t="str">
        <f>+TEXT(SUMPRODUCT((요약!$D$11:$L$136)*(요약!$D$6:$L$6=$B52)*(요약!$C$11:$C$136&lt;=G$44))/G$44,"#,###")&amp;"  " &amp;TEXT(SUMPRODUCT((요약!$D$11:$L$136)*(요약!$D$6:$L$6=$B52)*(요약!$C$11:$C$136&lt;=G$44))/G$44-$M52,"§ △#,### ;[빨강]§ ▼#,### ")</f>
        <v xml:space="preserve">305  § △7 </v>
      </c>
      <c r="H52" s="44" t="str">
        <f>+TEXT(SUMPRODUCT((요약!$D$11:$L$136)*(요약!$D$6:$L$6=$B52)*(요약!$C$11:$C$136&lt;=H$44))/H$44,"#,###")&amp;"  " &amp;TEXT(SUMPRODUCT((요약!$D$11:$L$136)*(요약!$D$6:$L$6=$B52)*(요약!$C$11:$C$136&lt;=H$44))/H$44-$M52,"§ △#,### ;[빨강]§ ▼#,### ")</f>
        <v xml:space="preserve">296  § ▼1 </v>
      </c>
      <c r="I52" s="44" t="str">
        <f>+TEXT(SUMPRODUCT((요약!$D$11:$L$136)*(요약!$D$6:$L$6=$B52)*(요약!$C$11:$C$136&lt;=I$44))/I$44,"#,###")&amp;"  " &amp;TEXT(SUMPRODUCT((요약!$D$11:$L$136)*(요약!$D$6:$L$6=$B52)*(요약!$C$11:$C$136&lt;=I$44))/I$44-$M52,"§ △#,### ;[빨강]§ ▼#,### ")</f>
        <v xml:space="preserve">296  § ▼1 </v>
      </c>
      <c r="J52" s="371" t="str">
        <f t="shared" si="12"/>
        <v xml:space="preserve">302 &lt;잔여호재&gt; </v>
      </c>
      <c r="L52" s="195">
        <f>+INDEX(요약!$D$3:$K$3,MATCH(B52,요약!$D$6:$K$6,0))</f>
        <v>301.5858585858586</v>
      </c>
      <c r="M52" s="363">
        <f>+SUMPRODUCT((요약!$D$11:$L$136)*(요약!$D$6:$L$6=$B52)*(요약!$C$11:$C$136&lt;=C$44))/C$44</f>
        <v>297.24444444444447</v>
      </c>
      <c r="N52" s="36" t="str">
        <f t="shared" si="13"/>
        <v>잔여호재</v>
      </c>
    </row>
    <row r="53" spans="1:14" ht="24" hidden="1" customHeight="1" x14ac:dyDescent="0.25">
      <c r="B53" s="234" t="s">
        <v>35</v>
      </c>
      <c r="C53" s="351" t="str">
        <f>+TEXT(SUMPRODUCT((요약!$D$11:$L$136)*(요약!$D$6:$L$6=$B53)*(요약!$C$11:$C$136&lt;=C$44))/C$44,"#,###")&amp;"  " &amp;TEXT(SUMPRODUCT((요약!$D$11:$L$136)*(요약!$D$6:$L$6=$B53)*(요약!$C$11:$C$136&lt;=C$44))/C$44-$L53,"§ △#,### ;[빨강]§ ▼#,### ")</f>
        <v xml:space="preserve">158  § ▼83 </v>
      </c>
      <c r="D53" s="244" t="str">
        <f>+TEXT(SUMPRODUCT((요약!$D$11:$L$136)*(요약!$D$6:$L$6=$B53)*(요약!$C$11:$C$136&lt;=D$44))/D$44,"#,###")&amp;"  " &amp;TEXT(SUMPRODUCT((요약!$D$11:$L$136)*(요약!$D$6:$L$6=$B53)*(요약!$C$11:$C$136&lt;=D$44))/D$44-$M53,"§ △#,### ;[빨강]§ ▼#,### ")</f>
        <v xml:space="preserve">151  § ▼7 </v>
      </c>
      <c r="E53" s="44" t="str">
        <f>+TEXT(SUMPRODUCT((요약!$D$11:$L$136)*(요약!$D$6:$L$6=$B53)*(요약!$C$11:$C$136&lt;=E$44))/E$44,"#,###")&amp;"  " &amp;TEXT(SUMPRODUCT((요약!$D$11:$L$136)*(요약!$D$6:$L$6=$B53)*(요약!$C$11:$C$136&lt;=E$44))/E$44-$M53,"§ △#,### ;[빨강]§ ▼#,### ")</f>
        <v xml:space="preserve">151  § ▼8 </v>
      </c>
      <c r="F53" s="44" t="str">
        <f>+TEXT(SUMPRODUCT((요약!$D$11:$L$136)*(요약!$D$6:$L$6=$B53)*(요약!$C$11:$C$136&lt;=F$44))/F$44,"#,###")&amp;"  " &amp;TEXT(SUMPRODUCT((요약!$D$11:$L$136)*(요약!$D$6:$L$6=$B53)*(요약!$C$11:$C$136&lt;=F$44))/F$44-$M53,"§ △#,### ;[빨강]§ ▼#,### ")</f>
        <v xml:space="preserve">151  § ▼7 </v>
      </c>
      <c r="G53" s="44" t="str">
        <f>+TEXT(SUMPRODUCT((요약!$D$11:$L$136)*(요약!$D$6:$L$6=$B53)*(요약!$C$11:$C$136&lt;=G$44))/G$44,"#,###")&amp;"  " &amp;TEXT(SUMPRODUCT((요약!$D$11:$L$136)*(요약!$D$6:$L$6=$B53)*(요약!$C$11:$C$136&lt;=G$44))/G$44-$M53,"§ △#,### ;[빨강]§ ▼#,### ")</f>
        <v xml:space="preserve">151  § ▼7 </v>
      </c>
      <c r="H53" s="44" t="str">
        <f>+TEXT(SUMPRODUCT((요약!$D$11:$L$136)*(요약!$D$6:$L$6=$B53)*(요약!$C$11:$C$136&lt;=H$44))/H$44,"#,###")&amp;"  " &amp;TEXT(SUMPRODUCT((요약!$D$11:$L$136)*(요약!$D$6:$L$6=$B53)*(요약!$C$11:$C$136&lt;=H$44))/H$44-$M53,"§ △#,### ;[빨강]§ ▼#,### ")</f>
        <v xml:space="preserve">152  § ▼6 </v>
      </c>
      <c r="I53" s="44" t="str">
        <f>+TEXT(SUMPRODUCT((요약!$D$11:$L$136)*(요약!$D$6:$L$6=$B53)*(요약!$C$11:$C$136&lt;=I$44))/I$44,"#,###")&amp;"  " &amp;TEXT(SUMPRODUCT((요약!$D$11:$L$136)*(요약!$D$6:$L$6=$B53)*(요약!$C$11:$C$136&lt;=I$44))/I$44-$M53,"§ △#,### ;[빨강]§ ▼#,### ")</f>
        <v xml:space="preserve">156  § ▼2 </v>
      </c>
      <c r="J53" s="371" t="str">
        <f t="shared" si="12"/>
        <v xml:space="preserve">241 &lt;잔여호재&gt; </v>
      </c>
      <c r="L53" s="195">
        <f>+INDEX(요약!$D$3:$K$3,MATCH(B53,요약!$D$6:$K$6,0))</f>
        <v>241.42156862745097</v>
      </c>
      <c r="M53" s="363">
        <f>+SUMPRODUCT((요약!$D$11:$L$136)*(요약!$D$6:$L$6=$B53)*(요약!$C$11:$C$136&lt;=C$44))/C$44</f>
        <v>158.3111111111111</v>
      </c>
      <c r="N53" s="36" t="str">
        <f t="shared" si="13"/>
        <v>잔여호재</v>
      </c>
    </row>
    <row r="54" spans="1:14" ht="24" hidden="1" customHeight="1" x14ac:dyDescent="0.25">
      <c r="B54" s="234" t="s">
        <v>36</v>
      </c>
      <c r="C54" s="351" t="str">
        <f>+TEXT(SUMPRODUCT((요약!$D$11:$L$136)*(요약!$D$6:$L$6=$B54)*(요약!$C$11:$C$136&lt;=C$44))/C$44,"#,###")&amp;"  " &amp;TEXT(SUMPRODUCT((요약!$D$11:$L$136)*(요약!$D$6:$L$6=$B54)*(요약!$C$11:$C$136&lt;=C$44))/C$44-$L54,"§ △#,### ;[빨강]§ ▼#,### ")</f>
        <v xml:space="preserve">140  § ▼33 </v>
      </c>
      <c r="D54" s="244" t="str">
        <f>+TEXT(SUMPRODUCT((요약!$D$11:$L$136)*(요약!$D$6:$L$6=$B54)*(요약!$C$11:$C$136&lt;=D$44))/D$44,"#,###")&amp;"  " &amp;TEXT(SUMPRODUCT((요약!$D$11:$L$136)*(요약!$D$6:$L$6=$B54)*(요약!$C$11:$C$136&lt;=D$44))/D$44-$M54,"§ △#,### ;[빨강]§ ▼#,### ")</f>
        <v xml:space="preserve">140  § ▼ </v>
      </c>
      <c r="E54" s="44" t="str">
        <f>+TEXT(SUMPRODUCT((요약!$D$11:$L$136)*(요약!$D$6:$L$6=$B54)*(요약!$C$11:$C$136&lt;=E$44))/E$44,"#,###")&amp;"  " &amp;TEXT(SUMPRODUCT((요약!$D$11:$L$136)*(요약!$D$6:$L$6=$B54)*(요약!$C$11:$C$136&lt;=E$44))/E$44-$M54,"§ △#,### ;[빨강]§ ▼#,### ")</f>
        <v xml:space="preserve">137  § ▼3 </v>
      </c>
      <c r="F54" s="44" t="str">
        <f>+TEXT(SUMPRODUCT((요약!$D$11:$L$136)*(요약!$D$6:$L$6=$B54)*(요약!$C$11:$C$136&lt;=F$44))/F$44,"#,###")&amp;"  " &amp;TEXT(SUMPRODUCT((요약!$D$11:$L$136)*(요약!$D$6:$L$6=$B54)*(요약!$C$11:$C$136&lt;=F$44))/F$44-$M54,"§ △#,### ;[빨강]§ ▼#,### ")</f>
        <v xml:space="preserve">139  § ▼2 </v>
      </c>
      <c r="G54" s="44" t="str">
        <f>+TEXT(SUMPRODUCT((요약!$D$11:$L$136)*(요약!$D$6:$L$6=$B54)*(요약!$C$11:$C$136&lt;=G$44))/G$44,"#,###")&amp;"  " &amp;TEXT(SUMPRODUCT((요약!$D$11:$L$136)*(요약!$D$6:$L$6=$B54)*(요약!$C$11:$C$136&lt;=G$44))/G$44-$M54,"§ △#,### ;[빨강]§ ▼#,### ")</f>
        <v xml:space="preserve">141  § △1 </v>
      </c>
      <c r="H54" s="44" t="str">
        <f>+TEXT(SUMPRODUCT((요약!$D$11:$L$136)*(요약!$D$6:$L$6=$B54)*(요약!$C$11:$C$136&lt;=H$44))/H$44,"#,###")&amp;"  " &amp;TEXT(SUMPRODUCT((요약!$D$11:$L$136)*(요약!$D$6:$L$6=$B54)*(요약!$C$11:$C$136&lt;=H$44))/H$44-$M54,"§ △#,### ;[빨강]§ ▼#,### ")</f>
        <v xml:space="preserve">142  § △2 </v>
      </c>
      <c r="I54" s="44" t="str">
        <f>+TEXT(SUMPRODUCT((요약!$D$11:$L$136)*(요약!$D$6:$L$6=$B54)*(요약!$C$11:$C$136&lt;=I$44))/I$44,"#,###")&amp;"  " &amp;TEXT(SUMPRODUCT((요약!$D$11:$L$136)*(요약!$D$6:$L$6=$B54)*(요약!$C$11:$C$136&lt;=I$44))/I$44-$M54,"§ △#,### ;[빨강]§ ▼#,### ")</f>
        <v xml:space="preserve">143  § △3 </v>
      </c>
      <c r="J54" s="371" t="str">
        <f t="shared" si="12"/>
        <v xml:space="preserve">174 &lt;잔여호재&gt; </v>
      </c>
      <c r="L54" s="195">
        <f>+INDEX(요약!$D$3:$K$3,MATCH(B54,요약!$D$6:$K$6,0))</f>
        <v>173.94252873563218</v>
      </c>
      <c r="M54" s="363">
        <f>+SUMPRODUCT((요약!$D$11:$L$136)*(요약!$D$6:$L$6=$B54)*(요약!$C$11:$C$136&lt;=C$44))/C$44</f>
        <v>140.46666666666667</v>
      </c>
      <c r="N54" s="36" t="str">
        <f t="shared" si="13"/>
        <v>잔여호재</v>
      </c>
    </row>
    <row r="55" spans="1:14" ht="24" hidden="1" customHeight="1" thickBot="1" x14ac:dyDescent="0.3">
      <c r="B55" s="325" t="s">
        <v>37</v>
      </c>
      <c r="C55" s="357" t="str">
        <f>+TEXT(SUMPRODUCT((요약!$D$11:$L$136)*(요약!$D$6:$L$6=$B55)*(요약!$C$11:$C$136&lt;=C$44))/C$44,"#,###")&amp;"  " &amp;TEXT(SUMPRODUCT((요약!$D$11:$L$136)*(요약!$D$6:$L$6=$B55)*(요약!$C$11:$C$136&lt;=C$44))/C$44-$L55,"§ △#,### ;[빨강]§ ▼#,### ")</f>
        <v xml:space="preserve">904  § △175 </v>
      </c>
      <c r="D55" s="326" t="str">
        <f>+TEXT(SUMPRODUCT((요약!$D$11:$L$136)*(요약!$D$6:$L$6=$B55)*(요약!$C$11:$C$136&lt;=D$44))/D$44,"#,###")&amp;"  " &amp;TEXT(SUMPRODUCT((요약!$D$11:$L$136)*(요약!$D$6:$L$6=$B55)*(요약!$C$11:$C$136&lt;=D$44))/D$44-$M55,"§ △#,### ;[빨강]§ ▼#,### ")</f>
        <v xml:space="preserve">892  § ▼13 </v>
      </c>
      <c r="E55" s="48" t="str">
        <f>+TEXT(SUMPRODUCT((요약!$D$11:$L$136)*(요약!$D$6:$L$6=$B55)*(요약!$C$11:$C$136&lt;=E$44))/E$44,"#,###")&amp;"  " &amp;TEXT(SUMPRODUCT((요약!$D$11:$L$136)*(요약!$D$6:$L$6=$B55)*(요약!$C$11:$C$136&lt;=E$44))/E$44-$M55,"§ △#,### ;[빨강]§ ▼#,### ")</f>
        <v xml:space="preserve">895  § ▼9 </v>
      </c>
      <c r="F55" s="48" t="str">
        <f>+TEXT(SUMPRODUCT((요약!$D$11:$L$136)*(요약!$D$6:$L$6=$B55)*(요약!$C$11:$C$136&lt;=F$44))/F$44,"#,###")&amp;"  " &amp;TEXT(SUMPRODUCT((요약!$D$11:$L$136)*(요약!$D$6:$L$6=$B55)*(요약!$C$11:$C$136&lt;=F$44))/F$44-$M55,"§ △#,### ;[빨강]§ ▼#,### ")</f>
        <v xml:space="preserve">903  § ▼2 </v>
      </c>
      <c r="G55" s="48" t="str">
        <f>+TEXT(SUMPRODUCT((요약!$D$11:$L$136)*(요약!$D$6:$L$6=$B55)*(요약!$C$11:$C$136&lt;=G$44))/G$44,"#,###")&amp;"  " &amp;TEXT(SUMPRODUCT((요약!$D$11:$L$136)*(요약!$D$6:$L$6=$B55)*(요약!$C$11:$C$136&lt;=G$44))/G$44-$M55,"§ △#,### ;[빨강]§ ▼#,### ")</f>
        <v xml:space="preserve">908  § △4 </v>
      </c>
      <c r="H55" s="48" t="str">
        <f>+TEXT(SUMPRODUCT((요약!$D$11:$L$136)*(요약!$D$6:$L$6=$B55)*(요약!$C$11:$C$136&lt;=H$44))/H$44,"#,###")&amp;"  " &amp;TEXT(SUMPRODUCT((요약!$D$11:$L$136)*(요약!$D$6:$L$6=$B55)*(요약!$C$11:$C$136&lt;=H$44))/H$44-$M55,"§ △#,### ;[빨강]§ ▼#,### ")</f>
        <v xml:space="preserve">916  § △12 </v>
      </c>
      <c r="I55" s="48" t="str">
        <f>+TEXT(SUMPRODUCT((요약!$D$11:$L$136)*(요약!$D$6:$L$6=$B55)*(요약!$C$11:$C$136&lt;=I$44))/I$44,"#,###")&amp;"  " &amp;TEXT(SUMPRODUCT((요약!$D$11:$L$136)*(요약!$D$6:$L$6=$B55)*(요약!$C$11:$C$136&lt;=I$44))/I$44-$M55,"§ △#,### ;[빨강]§ ▼#,### ")</f>
        <v xml:space="preserve">924  § △19 </v>
      </c>
      <c r="J55" s="373" t="str">
        <f t="shared" si="12"/>
        <v xml:space="preserve">729 &lt;잔여악재&gt; </v>
      </c>
      <c r="L55" s="195">
        <f>+INDEX(요약!$D$3:$K$3,MATCH(B55,요약!$D$6:$K$6,0))</f>
        <v>729.35294117647061</v>
      </c>
      <c r="M55" s="363">
        <f>+SUMPRODUCT((요약!$D$11:$L$136)*(요약!$D$6:$L$6=$B55)*(요약!$C$11:$C$136&lt;=C$44))/C$44</f>
        <v>904.4666666666667</v>
      </c>
      <c r="N55" s="36" t="str">
        <f t="shared" si="13"/>
        <v>잔여악재</v>
      </c>
    </row>
    <row r="56" spans="1:14" ht="17.25" hidden="1" customHeight="1" x14ac:dyDescent="0.25">
      <c r="B56" s="55" t="s">
        <v>133</v>
      </c>
    </row>
    <row r="57" spans="1:14" ht="6.75" customHeight="1" x14ac:dyDescent="0.25"/>
    <row r="58" spans="1:14" s="55" customFormat="1" ht="25.5" customHeight="1" thickBot="1" x14ac:dyDescent="0.3">
      <c r="A58" s="972">
        <f>+F8</f>
        <v>45</v>
      </c>
      <c r="B58" s="972"/>
      <c r="C58" s="972"/>
      <c r="D58" s="972"/>
      <c r="E58" s="972"/>
      <c r="F58" s="972"/>
      <c r="G58" s="972"/>
      <c r="H58" s="972"/>
      <c r="I58" s="972"/>
      <c r="J58" s="170">
        <f>+F9</f>
        <v>45</v>
      </c>
    </row>
    <row r="59" spans="1:14" s="55" customFormat="1" ht="27" customHeight="1" x14ac:dyDescent="0.25">
      <c r="B59" s="632" t="str">
        <f>+요약!O30</f>
        <v>바스키아</v>
      </c>
      <c r="C59" s="641" t="str">
        <f>+요약!P30</f>
        <v>김정기</v>
      </c>
      <c r="D59" s="642" t="str">
        <f>+요약!Q30</f>
        <v>드리머</v>
      </c>
      <c r="E59" s="57" t="str">
        <f>+요약!R30</f>
        <v>알렉스</v>
      </c>
      <c r="F59" s="45" t="str">
        <f>+요약!S30</f>
        <v>페어리</v>
      </c>
      <c r="G59" s="75" t="str">
        <f>+요약!T30</f>
        <v>마르지엘라</v>
      </c>
      <c r="H59" s="653" t="str">
        <f>+요약!U30</f>
        <v>제이알</v>
      </c>
      <c r="I59" s="632" t="str">
        <f>+요약!V30</f>
        <v>오스틴 리</v>
      </c>
      <c r="J59" s="75" t="str">
        <f>+요약!W30</f>
        <v>윤협</v>
      </c>
    </row>
    <row r="60" spans="1:14" s="55" customFormat="1" ht="20.100000000000001" customHeight="1" x14ac:dyDescent="0.25">
      <c r="A60" s="627" t="s">
        <v>76</v>
      </c>
      <c r="B60" s="633">
        <f>+요약!O33</f>
        <v>32</v>
      </c>
      <c r="C60" s="643">
        <f>+요약!P33</f>
        <v>31</v>
      </c>
      <c r="D60" s="644">
        <f>+요약!Q33</f>
        <v>32</v>
      </c>
      <c r="E60" s="148">
        <f>+요약!R33</f>
        <v>33</v>
      </c>
      <c r="F60" s="149">
        <f>+요약!S33</f>
        <v>31</v>
      </c>
      <c r="G60" s="150">
        <f>+요약!T33</f>
        <v>31</v>
      </c>
      <c r="H60" s="654">
        <f>+요약!U33</f>
        <v>33</v>
      </c>
      <c r="I60" s="148">
        <f>+요약!V33</f>
        <v>33</v>
      </c>
      <c r="J60" s="150">
        <f>+요약!W33</f>
        <v>31</v>
      </c>
    </row>
    <row r="61" spans="1:14" s="55" customFormat="1" ht="20.100000000000001" customHeight="1" x14ac:dyDescent="0.25">
      <c r="A61" s="158" t="s">
        <v>81</v>
      </c>
      <c r="B61" s="634">
        <f>+요약!O35</f>
        <v>21452</v>
      </c>
      <c r="C61" s="645">
        <f>+요약!P35</f>
        <v>2907</v>
      </c>
      <c r="D61" s="646">
        <f>+요약!Q35</f>
        <v>2934</v>
      </c>
      <c r="E61" s="143">
        <f>+요약!R35</f>
        <v>6633</v>
      </c>
      <c r="F61" s="144">
        <f>+요약!S35</f>
        <v>6240</v>
      </c>
      <c r="G61" s="145">
        <f>+요약!T35</f>
        <v>14138</v>
      </c>
      <c r="H61" s="655">
        <f>+요약!U35</f>
        <v>3441</v>
      </c>
      <c r="I61" s="143">
        <f>+요약!V35</f>
        <v>5165</v>
      </c>
      <c r="J61" s="145">
        <f>+요약!W35</f>
        <v>4427</v>
      </c>
    </row>
    <row r="62" spans="1:14" s="55" customFormat="1" ht="20.100000000000001" customHeight="1" x14ac:dyDescent="0.25">
      <c r="A62" s="284" t="s">
        <v>116</v>
      </c>
      <c r="B62" s="635" t="str">
        <f t="shared" ref="B62:J62" si="14">+TEXT(B61/B60,"#,###명")&amp;" / "&amp;TEXT(RANK(B61,$B$61:$J$61),"#,###위")</f>
        <v>670명 / 1위</v>
      </c>
      <c r="C62" s="647" t="str">
        <f t="shared" si="14"/>
        <v>94명 / 9위</v>
      </c>
      <c r="D62" s="648" t="str">
        <f t="shared" si="14"/>
        <v>92명 / 8위</v>
      </c>
      <c r="E62" s="283" t="str">
        <f t="shared" si="14"/>
        <v>201명 / 3위</v>
      </c>
      <c r="F62" s="285" t="str">
        <f t="shared" si="14"/>
        <v>201명 / 4위</v>
      </c>
      <c r="G62" s="637" t="str">
        <f t="shared" si="14"/>
        <v>456명 / 2위</v>
      </c>
      <c r="H62" s="656" t="str">
        <f t="shared" si="14"/>
        <v>104명 / 7위</v>
      </c>
      <c r="I62" s="283" t="str">
        <f t="shared" si="14"/>
        <v>157명 / 5위</v>
      </c>
      <c r="J62" s="352" t="str">
        <f t="shared" si="14"/>
        <v>143명 / 6위</v>
      </c>
      <c r="L62" s="55">
        <f>+FIND("명",B62)</f>
        <v>4</v>
      </c>
    </row>
    <row r="63" spans="1:14" s="55" customFormat="1" ht="20.100000000000001" customHeight="1" x14ac:dyDescent="0.25">
      <c r="A63" s="158" t="s">
        <v>83</v>
      </c>
      <c r="B63" s="636">
        <f>LEFT($J$62,FIND("명 ",$J$62)-1)-LEFT(B62,FIND("명 ",B62)-1)</f>
        <v>-527</v>
      </c>
      <c r="C63" s="649">
        <f t="shared" ref="C63:I63" si="15">LEFT($J$62,FIND("명 ",$J$62)-1)-LEFT(C62,FIND("명 ",C62)-1)</f>
        <v>49</v>
      </c>
      <c r="D63" s="650">
        <f t="shared" si="15"/>
        <v>51</v>
      </c>
      <c r="E63" s="640">
        <f t="shared" si="15"/>
        <v>-58</v>
      </c>
      <c r="F63" s="329">
        <f t="shared" si="15"/>
        <v>-58</v>
      </c>
      <c r="G63" s="638">
        <f t="shared" si="15"/>
        <v>-313</v>
      </c>
      <c r="H63" s="657">
        <f t="shared" si="15"/>
        <v>39</v>
      </c>
      <c r="I63" s="640">
        <f t="shared" si="15"/>
        <v>-14</v>
      </c>
      <c r="J63" s="146"/>
      <c r="M63" s="55" t="s">
        <v>184</v>
      </c>
    </row>
    <row r="64" spans="1:14" s="55" customFormat="1" ht="20.100000000000001" customHeight="1" x14ac:dyDescent="0.25">
      <c r="A64" s="627" t="s">
        <v>77</v>
      </c>
      <c r="B64" s="633">
        <f>+요약!O34</f>
        <v>13</v>
      </c>
      <c r="C64" s="643">
        <f>+요약!P34</f>
        <v>14</v>
      </c>
      <c r="D64" s="644">
        <f>+요약!Q34</f>
        <v>13</v>
      </c>
      <c r="E64" s="148">
        <f>+요약!R34</f>
        <v>12</v>
      </c>
      <c r="F64" s="149">
        <f>+요약!S34</f>
        <v>14</v>
      </c>
      <c r="G64" s="150">
        <f>+요약!T34</f>
        <v>14</v>
      </c>
      <c r="H64" s="654">
        <f>+요약!U34</f>
        <v>12</v>
      </c>
      <c r="I64" s="148">
        <f>+요약!V34</f>
        <v>12</v>
      </c>
      <c r="J64" s="150">
        <f>+요약!W34</f>
        <v>14</v>
      </c>
      <c r="M64" s="494">
        <v>1</v>
      </c>
    </row>
    <row r="65" spans="1:20" s="55" customFormat="1" ht="20.100000000000001" customHeight="1" x14ac:dyDescent="0.25">
      <c r="A65" s="158" t="s">
        <v>81</v>
      </c>
      <c r="B65" s="634">
        <f>+요약!O36</f>
        <v>19249</v>
      </c>
      <c r="C65" s="645">
        <f>+요약!P36</f>
        <v>3414</v>
      </c>
      <c r="D65" s="646">
        <f>+요약!Q36</f>
        <v>4190</v>
      </c>
      <c r="E65" s="143">
        <f>+요약!R36</f>
        <v>6743</v>
      </c>
      <c r="F65" s="144">
        <f>+요약!S36</f>
        <v>5612</v>
      </c>
      <c r="G65" s="145">
        <f>+요약!T36</f>
        <v>11489</v>
      </c>
      <c r="H65" s="655">
        <f>+요약!U36</f>
        <v>2316</v>
      </c>
      <c r="I65" s="143">
        <f>+요약!V36</f>
        <v>4851</v>
      </c>
      <c r="J65" s="145">
        <f>+요약!W36</f>
        <v>4949</v>
      </c>
      <c r="L65" s="494">
        <v>8</v>
      </c>
      <c r="M65" s="141">
        <f>+LARGE($C$79:$J$79,$L65)</f>
        <v>173.94252873563218</v>
      </c>
      <c r="N65" s="55" t="str">
        <f>+INDEX($C$74:$J$74,MATCH(M65,$C$79:$J$79,0))</f>
        <v>김정기</v>
      </c>
    </row>
    <row r="66" spans="1:20" ht="20.100000000000001" customHeight="1" x14ac:dyDescent="0.25">
      <c r="A66" s="284" t="s">
        <v>116</v>
      </c>
      <c r="B66" s="635" t="str">
        <f t="shared" ref="B66:J66" si="16">+TEXT(B65/B64,"#,###명")&amp;" / "&amp;TEXT(RANK(B65,$B$65:$J$65),"#,###위")</f>
        <v>1,481명 / 1위</v>
      </c>
      <c r="C66" s="647" t="str">
        <f t="shared" si="16"/>
        <v>244명 / 8위</v>
      </c>
      <c r="D66" s="648" t="str">
        <f t="shared" si="16"/>
        <v>322명 / 7위</v>
      </c>
      <c r="E66" s="283" t="str">
        <f t="shared" si="16"/>
        <v>562명 / 3위</v>
      </c>
      <c r="F66" s="285" t="str">
        <f t="shared" si="16"/>
        <v>401명 / 4위</v>
      </c>
      <c r="G66" s="637" t="str">
        <f t="shared" si="16"/>
        <v>821명 / 2위</v>
      </c>
      <c r="H66" s="656" t="str">
        <f t="shared" si="16"/>
        <v>193명 / 9위</v>
      </c>
      <c r="I66" s="283" t="str">
        <f t="shared" si="16"/>
        <v>404명 / 6위</v>
      </c>
      <c r="J66" s="352" t="str">
        <f t="shared" si="16"/>
        <v>354명 / 5위</v>
      </c>
      <c r="L66" s="364">
        <f>+L65-1</f>
        <v>7</v>
      </c>
      <c r="M66" s="141">
        <f t="shared" ref="M66:M72" si="17">+LARGE($C$79:$J$79,$L66)</f>
        <v>186.89583333333334</v>
      </c>
      <c r="N66" s="55" t="str">
        <f t="shared" ref="N66:N72" si="18">+INDEX($C$74:$J$74,MATCH(M66,$C$79:$J$79,0))</f>
        <v>제이알</v>
      </c>
    </row>
    <row r="67" spans="1:20" s="55" customFormat="1" ht="20.100000000000001" customHeight="1" x14ac:dyDescent="0.25">
      <c r="A67" s="158" t="s">
        <v>83</v>
      </c>
      <c r="B67" s="636">
        <f>LEFT($J$66,FIND("명 ",$J$66)-1)-LEFT(B66,FIND("명 ",B66)-1)</f>
        <v>-1127</v>
      </c>
      <c r="C67" s="649">
        <f t="shared" ref="C67:I67" si="19">LEFT($J$66,FIND("명 ",$J$66)-1)-LEFT(C66,FIND("명 ",C66)-1)</f>
        <v>110</v>
      </c>
      <c r="D67" s="650">
        <f t="shared" si="19"/>
        <v>32</v>
      </c>
      <c r="E67" s="640">
        <f t="shared" si="19"/>
        <v>-208</v>
      </c>
      <c r="F67" s="329">
        <f t="shared" si="19"/>
        <v>-47</v>
      </c>
      <c r="G67" s="638">
        <f t="shared" si="19"/>
        <v>-467</v>
      </c>
      <c r="H67" s="657">
        <f t="shared" si="19"/>
        <v>161</v>
      </c>
      <c r="I67" s="640">
        <f t="shared" si="19"/>
        <v>-50</v>
      </c>
      <c r="J67" s="146"/>
      <c r="L67" s="364">
        <f t="shared" ref="L67:L72" si="20">+L66-1</f>
        <v>6</v>
      </c>
      <c r="M67" s="141">
        <f t="shared" si="17"/>
        <v>241.42156862745097</v>
      </c>
      <c r="N67" s="55" t="str">
        <f t="shared" si="18"/>
        <v>드리머</v>
      </c>
    </row>
    <row r="68" spans="1:20" s="55" customFormat="1" ht="20.100000000000001" customHeight="1" x14ac:dyDescent="0.25">
      <c r="A68" s="627" t="s">
        <v>99</v>
      </c>
      <c r="B68" s="633">
        <f t="shared" ref="B68:J68" si="21">+B60+B64</f>
        <v>45</v>
      </c>
      <c r="C68" s="643">
        <f t="shared" si="21"/>
        <v>45</v>
      </c>
      <c r="D68" s="644">
        <f t="shared" si="21"/>
        <v>45</v>
      </c>
      <c r="E68" s="148">
        <f t="shared" si="21"/>
        <v>45</v>
      </c>
      <c r="F68" s="149">
        <f t="shared" si="21"/>
        <v>45</v>
      </c>
      <c r="G68" s="150">
        <f t="shared" si="21"/>
        <v>45</v>
      </c>
      <c r="H68" s="654">
        <f t="shared" si="21"/>
        <v>45</v>
      </c>
      <c r="I68" s="148">
        <f t="shared" si="21"/>
        <v>45</v>
      </c>
      <c r="J68" s="150">
        <f t="shared" si="21"/>
        <v>45</v>
      </c>
      <c r="L68" s="364">
        <f t="shared" si="20"/>
        <v>5</v>
      </c>
      <c r="M68" s="141">
        <f t="shared" si="17"/>
        <v>249.42574257425741</v>
      </c>
      <c r="N68" s="55" t="str">
        <f t="shared" si="18"/>
        <v>페어리</v>
      </c>
    </row>
    <row r="69" spans="1:20" s="55" customFormat="1" ht="20.100000000000001" customHeight="1" x14ac:dyDescent="0.25">
      <c r="A69" s="158" t="s">
        <v>81</v>
      </c>
      <c r="B69" s="634">
        <f t="shared" ref="B69:J69" si="22">+B61+B65</f>
        <v>40701</v>
      </c>
      <c r="C69" s="645">
        <f t="shared" si="22"/>
        <v>6321</v>
      </c>
      <c r="D69" s="646">
        <f t="shared" si="22"/>
        <v>7124</v>
      </c>
      <c r="E69" s="143">
        <f t="shared" si="22"/>
        <v>13376</v>
      </c>
      <c r="F69" s="144">
        <f t="shared" si="22"/>
        <v>11852</v>
      </c>
      <c r="G69" s="145">
        <f t="shared" si="22"/>
        <v>25627</v>
      </c>
      <c r="H69" s="655">
        <f t="shared" si="22"/>
        <v>5757</v>
      </c>
      <c r="I69" s="143">
        <f t="shared" si="22"/>
        <v>10016</v>
      </c>
      <c r="J69" s="145">
        <f t="shared" si="22"/>
        <v>9376</v>
      </c>
      <c r="L69" s="364">
        <f t="shared" si="20"/>
        <v>4</v>
      </c>
      <c r="M69" s="141">
        <f t="shared" si="17"/>
        <v>294.86597938144331</v>
      </c>
      <c r="N69" s="55" t="str">
        <f t="shared" si="18"/>
        <v>오스틴 리</v>
      </c>
    </row>
    <row r="70" spans="1:20" ht="20.100000000000001" customHeight="1" x14ac:dyDescent="0.25">
      <c r="A70" s="284" t="s">
        <v>116</v>
      </c>
      <c r="B70" s="635" t="str">
        <f t="shared" ref="B70:J70" si="23">+TEXT(B69/B68,"#,###명")&amp;" / "&amp;TEXT(RANK(B69,$B$69:$J$69),"#,###위")</f>
        <v>904명 / 1위</v>
      </c>
      <c r="C70" s="647" t="str">
        <f t="shared" si="23"/>
        <v>140명 / 8위</v>
      </c>
      <c r="D70" s="648" t="str">
        <f t="shared" si="23"/>
        <v>158명 / 7위</v>
      </c>
      <c r="E70" s="283" t="str">
        <f t="shared" si="23"/>
        <v>297명 / 3위</v>
      </c>
      <c r="F70" s="285" t="str">
        <f t="shared" si="23"/>
        <v>263명 / 4위</v>
      </c>
      <c r="G70" s="637" t="str">
        <f t="shared" si="23"/>
        <v>569명 / 2위</v>
      </c>
      <c r="H70" s="656" t="str">
        <f t="shared" si="23"/>
        <v>128명 / 9위</v>
      </c>
      <c r="I70" s="283" t="str">
        <f t="shared" si="23"/>
        <v>223명 / 5위</v>
      </c>
      <c r="J70" s="352" t="str">
        <f t="shared" si="23"/>
        <v>208명 / 6위</v>
      </c>
      <c r="L70" s="364">
        <f t="shared" si="20"/>
        <v>3</v>
      </c>
      <c r="M70" s="141">
        <f t="shared" si="17"/>
        <v>301.5858585858586</v>
      </c>
      <c r="N70" s="55" t="str">
        <f t="shared" si="18"/>
        <v>알렉스</v>
      </c>
    </row>
    <row r="71" spans="1:20" s="55" customFormat="1" ht="20.100000000000001" customHeight="1" thickBot="1" x14ac:dyDescent="0.3">
      <c r="A71" s="158" t="s">
        <v>83</v>
      </c>
      <c r="B71" s="636">
        <f>LEFT($J$70,FIND("명 ",$J$70)-1)-LEFT(B70,FIND("명 ",B70)-1)</f>
        <v>-696</v>
      </c>
      <c r="C71" s="651">
        <f t="shared" ref="C71:I71" si="24">LEFT($J$70,FIND("명 ",$J$70)-1)-LEFT(C70,FIND("명 ",C70)-1)</f>
        <v>68</v>
      </c>
      <c r="D71" s="652">
        <f t="shared" si="24"/>
        <v>50</v>
      </c>
      <c r="E71" s="328">
        <f t="shared" si="24"/>
        <v>-89</v>
      </c>
      <c r="F71" s="330">
        <f t="shared" si="24"/>
        <v>-55</v>
      </c>
      <c r="G71" s="639">
        <f t="shared" si="24"/>
        <v>-361</v>
      </c>
      <c r="H71" s="658">
        <f t="shared" si="24"/>
        <v>80</v>
      </c>
      <c r="I71" s="328">
        <f t="shared" si="24"/>
        <v>-15</v>
      </c>
      <c r="J71" s="173"/>
      <c r="L71" s="364">
        <f t="shared" si="20"/>
        <v>2</v>
      </c>
      <c r="M71" s="141">
        <f t="shared" si="17"/>
        <v>457.47311827956992</v>
      </c>
      <c r="N71" s="55" t="str">
        <f t="shared" si="18"/>
        <v>마르지엘라</v>
      </c>
    </row>
    <row r="72" spans="1:20" s="55" customFormat="1" ht="12" customHeight="1" x14ac:dyDescent="0.25">
      <c r="A72" s="129"/>
      <c r="B72" s="153"/>
      <c r="C72" s="153"/>
      <c r="D72" s="153"/>
      <c r="E72" s="153"/>
      <c r="F72" s="153"/>
      <c r="G72" s="153"/>
      <c r="H72" s="153"/>
      <c r="I72" s="153"/>
      <c r="J72" s="154"/>
      <c r="L72" s="364">
        <f t="shared" si="20"/>
        <v>1</v>
      </c>
      <c r="M72" s="141">
        <f t="shared" si="17"/>
        <v>729.35294117647061</v>
      </c>
      <c r="N72" s="55" t="str">
        <f t="shared" si="18"/>
        <v>바스키아</v>
      </c>
    </row>
    <row r="73" spans="1:20" ht="24" customHeight="1" x14ac:dyDescent="0.25">
      <c r="A73" s="595" t="s">
        <v>123</v>
      </c>
      <c r="C73" s="74"/>
      <c r="D73" s="74" t="s">
        <v>46</v>
      </c>
      <c r="E73" s="74" t="s">
        <v>46</v>
      </c>
      <c r="F73" s="74"/>
      <c r="G73" s="74"/>
      <c r="H73" s="74"/>
      <c r="I73" s="74"/>
      <c r="J73" s="74"/>
      <c r="L73" s="364"/>
    </row>
    <row r="74" spans="1:20" ht="27" customHeight="1" x14ac:dyDescent="0.25">
      <c r="B74" s="57" t="s">
        <v>19</v>
      </c>
      <c r="C74" s="45" t="str">
        <f>+요약!D6</f>
        <v>바스키아</v>
      </c>
      <c r="D74" s="189" t="str">
        <f>+요약!E6</f>
        <v>김정기</v>
      </c>
      <c r="E74" s="189" t="str">
        <f>+요약!F6</f>
        <v>드리머</v>
      </c>
      <c r="F74" s="45" t="str">
        <f>+요약!G6</f>
        <v>알렉스</v>
      </c>
      <c r="G74" s="45" t="str">
        <f>+요약!H6</f>
        <v>페어리</v>
      </c>
      <c r="H74" s="45" t="str">
        <f>+요약!I6</f>
        <v>마르지엘라</v>
      </c>
      <c r="I74" s="45" t="str">
        <f>+요약!J6</f>
        <v>제이알</v>
      </c>
      <c r="J74" s="75" t="str">
        <f>+요약!K6</f>
        <v>오스틴 리</v>
      </c>
      <c r="M74" s="522"/>
      <c r="N74" s="522"/>
      <c r="O74" s="522"/>
      <c r="P74" s="522"/>
      <c r="Q74" s="522"/>
      <c r="R74" s="522"/>
      <c r="S74" s="522"/>
      <c r="T74" s="522"/>
    </row>
    <row r="75" spans="1:20" ht="20.25" customHeight="1" x14ac:dyDescent="0.25">
      <c r="B75" s="58" t="s">
        <v>6</v>
      </c>
      <c r="C75" s="82">
        <f>+요약!D7</f>
        <v>44112</v>
      </c>
      <c r="D75" s="82">
        <f>+요약!E7</f>
        <v>44302</v>
      </c>
      <c r="E75" s="82">
        <f>+요약!F7</f>
        <v>44469</v>
      </c>
      <c r="F75" s="82">
        <f>+요약!G7</f>
        <v>44620</v>
      </c>
      <c r="G75" s="82">
        <f>+요약!H7</f>
        <v>44771</v>
      </c>
      <c r="H75" s="82">
        <f>+요약!I7</f>
        <v>44919</v>
      </c>
      <c r="I75" s="82">
        <f>+요약!J7</f>
        <v>45049</v>
      </c>
      <c r="J75" s="83">
        <f>+요약!K7</f>
        <v>45195</v>
      </c>
      <c r="M75" s="364"/>
      <c r="N75" s="364"/>
      <c r="O75" s="364"/>
      <c r="P75" s="364"/>
      <c r="Q75" s="364"/>
      <c r="R75" s="364"/>
      <c r="S75" s="364"/>
      <c r="T75" s="364"/>
    </row>
    <row r="76" spans="1:20" ht="20.25" customHeight="1" x14ac:dyDescent="0.25">
      <c r="B76" s="63" t="s">
        <v>7</v>
      </c>
      <c r="C76" s="85">
        <f>+요약!D8</f>
        <v>44247</v>
      </c>
      <c r="D76" s="85">
        <f>+요약!E8</f>
        <v>44388</v>
      </c>
      <c r="E76" s="85">
        <f>+요약!F8</f>
        <v>44570</v>
      </c>
      <c r="F76" s="85">
        <f>+요약!G8</f>
        <v>44718</v>
      </c>
      <c r="G76" s="85">
        <f>+요약!H8</f>
        <v>44871</v>
      </c>
      <c r="H76" s="85">
        <f>+요약!I8</f>
        <v>45011</v>
      </c>
      <c r="I76" s="85">
        <f>+요약!J8</f>
        <v>45144</v>
      </c>
      <c r="J76" s="86">
        <f>+요약!K8</f>
        <v>45291</v>
      </c>
    </row>
    <row r="77" spans="1:20" ht="20.25" customHeight="1" x14ac:dyDescent="0.25">
      <c r="B77" s="63" t="s">
        <v>9</v>
      </c>
      <c r="C77" s="87">
        <f>+C76-C75+1</f>
        <v>136</v>
      </c>
      <c r="D77" s="87">
        <f t="shared" ref="D77:J77" si="25">+D76-D75+1</f>
        <v>87</v>
      </c>
      <c r="E77" s="87">
        <f t="shared" si="25"/>
        <v>102</v>
      </c>
      <c r="F77" s="87">
        <f t="shared" si="25"/>
        <v>99</v>
      </c>
      <c r="G77" s="87">
        <f t="shared" si="25"/>
        <v>101</v>
      </c>
      <c r="H77" s="87">
        <f t="shared" si="25"/>
        <v>93</v>
      </c>
      <c r="I77" s="87">
        <f t="shared" si="25"/>
        <v>96</v>
      </c>
      <c r="J77" s="88">
        <f t="shared" si="25"/>
        <v>97</v>
      </c>
    </row>
    <row r="78" spans="1:20" ht="20.25" customHeight="1" x14ac:dyDescent="0.25">
      <c r="B78" s="264" t="s">
        <v>67</v>
      </c>
      <c r="C78" s="353" t="str">
        <f>+TEXT(요약!D10,"#,###")&amp;"/ "&amp;요약!D4&amp;"위"</f>
        <v>99,192/ 1위</v>
      </c>
      <c r="D78" s="353" t="str">
        <f>+TEXT(요약!E10,"#,###")&amp;"/ "&amp;요약!E4&amp;"위"</f>
        <v>15,133/ 8위</v>
      </c>
      <c r="E78" s="353" t="str">
        <f>+TEXT(요약!F10,"#,###")&amp;"/ "&amp;요약!F4&amp;"위"</f>
        <v>24,625/ 6위</v>
      </c>
      <c r="F78" s="353" t="str">
        <f>+TEXT(요약!G10,"#,###")&amp;"/ "&amp;요약!G4&amp;"위"</f>
        <v>29,857/ 3위</v>
      </c>
      <c r="G78" s="353" t="str">
        <f>+TEXT(요약!H10,"#,###")&amp;"/ "&amp;요약!H4&amp;"위"</f>
        <v>25,192/ 5위</v>
      </c>
      <c r="H78" s="353" t="str">
        <f>+TEXT(요약!I10,"#,###")&amp;"/ "&amp;요약!I4&amp;"위"</f>
        <v>42,545/ 2위</v>
      </c>
      <c r="I78" s="353" t="str">
        <f>+TEXT(요약!J10,"#,###")&amp;"/ "&amp;요약!J4&amp;"위"</f>
        <v>17,942/ 7위</v>
      </c>
      <c r="J78" s="354" t="str">
        <f>+TEXT(요약!K10,"#,###")&amp;"/ "&amp;요약!K4&amp;"위"</f>
        <v>28,602/ 4위</v>
      </c>
    </row>
    <row r="79" spans="1:20" ht="20.25" customHeight="1" x14ac:dyDescent="0.25">
      <c r="B79" s="327" t="s">
        <v>66</v>
      </c>
      <c r="C79" s="355">
        <f>+LEFT(C78,FIND("/",C78)-1)/C77</f>
        <v>729.35294117647061</v>
      </c>
      <c r="D79" s="355">
        <f t="shared" ref="D79:I79" si="26">+LEFT(D78,FIND("/",D78)-1)/D77</f>
        <v>173.94252873563218</v>
      </c>
      <c r="E79" s="355">
        <f t="shared" si="26"/>
        <v>241.42156862745097</v>
      </c>
      <c r="F79" s="355">
        <f t="shared" si="26"/>
        <v>301.5858585858586</v>
      </c>
      <c r="G79" s="355">
        <f t="shared" si="26"/>
        <v>249.42574257425741</v>
      </c>
      <c r="H79" s="355">
        <f t="shared" si="26"/>
        <v>457.47311827956992</v>
      </c>
      <c r="I79" s="355">
        <f t="shared" si="26"/>
        <v>186.89583333333334</v>
      </c>
      <c r="J79" s="356">
        <f>+LEFT(J78,FIND("/",J78)-1)/J77</f>
        <v>294.86597938144331</v>
      </c>
    </row>
    <row r="80" spans="1:20" s="55" customFormat="1" ht="15.75" customHeight="1" x14ac:dyDescent="0.25">
      <c r="A80" s="55" t="s">
        <v>89</v>
      </c>
      <c r="B80" s="96"/>
      <c r="C80" s="141"/>
      <c r="D80" s="141"/>
      <c r="E80" s="141"/>
      <c r="F80" s="141"/>
      <c r="G80" s="141"/>
      <c r="H80" s="141"/>
      <c r="I80" s="141"/>
      <c r="J80" s="141"/>
    </row>
    <row r="81" spans="1:15" customFormat="1" ht="26.25" customHeight="1" x14ac:dyDescent="0.25">
      <c r="A81" s="594" t="s">
        <v>124</v>
      </c>
      <c r="B81" s="128"/>
      <c r="C81" s="128"/>
      <c r="D81" s="128"/>
      <c r="E81" s="128"/>
      <c r="F81" s="128"/>
      <c r="G81" s="128"/>
      <c r="H81" s="128"/>
      <c r="I81" s="55"/>
      <c r="J81" s="299" t="str">
        <f>+"&lt; "&amp;N83&amp;"주 + "&amp;M84&amp;"일차 &gt;"</f>
        <v>&lt; 6주 + 3일차 &gt;</v>
      </c>
    </row>
    <row r="82" spans="1:15" customFormat="1" ht="20.100000000000001" customHeight="1" x14ac:dyDescent="0.25">
      <c r="B82" s="365" t="s">
        <v>111</v>
      </c>
      <c r="C82" s="366">
        <v>1</v>
      </c>
      <c r="D82" s="366">
        <f t="shared" ref="D82:J82" si="27">+C82+1</f>
        <v>2</v>
      </c>
      <c r="E82" s="366">
        <f t="shared" si="27"/>
        <v>3</v>
      </c>
      <c r="F82" s="366">
        <f t="shared" si="27"/>
        <v>4</v>
      </c>
      <c r="G82" s="366">
        <f t="shared" si="27"/>
        <v>5</v>
      </c>
      <c r="H82" s="366">
        <f t="shared" si="27"/>
        <v>6</v>
      </c>
      <c r="I82" s="366">
        <f t="shared" si="27"/>
        <v>7</v>
      </c>
      <c r="J82" s="369">
        <f t="shared" si="27"/>
        <v>8</v>
      </c>
      <c r="L82" s="256" t="s">
        <v>115</v>
      </c>
      <c r="M82" s="257">
        <f>+SUMIFS(요약!$L$11:$L$146,요약!$B$11:$B$146,"1")</f>
        <v>2263</v>
      </c>
      <c r="O82" t="str">
        <f>+M83&amp;"주 "&amp;M84&amp;"일차"</f>
        <v>7주 3일차</v>
      </c>
    </row>
    <row r="83" spans="1:15" customFormat="1" ht="20.100000000000001" customHeight="1" x14ac:dyDescent="0.25">
      <c r="B83" s="267" t="s">
        <v>125</v>
      </c>
      <c r="C83" s="259">
        <f>+INDEX(요약!$T$7:$T$20,C$82)</f>
        <v>5785</v>
      </c>
      <c r="D83" s="259">
        <f>+INDEX(요약!$T$7:$T$20,D$82)</f>
        <v>2559</v>
      </c>
      <c r="E83" s="259">
        <f>+INDEX(요약!$T$7:$T$20,E$82)</f>
        <v>4095</v>
      </c>
      <c r="F83" s="259">
        <f>+INDEX(요약!$T$7:$T$20,F$82)</f>
        <v>4261</v>
      </c>
      <c r="G83" s="259">
        <f>+INDEX(요약!$T$7:$T$20,G$82)</f>
        <v>2925</v>
      </c>
      <c r="H83" s="259">
        <f>+INDEX(요약!$T$7:$T$20,H$82)</f>
        <v>4599</v>
      </c>
      <c r="I83" s="259">
        <f>+INDEX(요약!$T$7:$T$20,I$82)</f>
        <v>2327</v>
      </c>
      <c r="J83" s="293">
        <f>+INDEX(요약!$T$7:$T$20,J$82)</f>
        <v>2548</v>
      </c>
      <c r="L83" t="s">
        <v>114</v>
      </c>
      <c r="M83" s="182">
        <f t="array" ref="M83">+MAX(IF(요약!$L$11:$L$146&gt;0,요약!$B$11:$B$146))</f>
        <v>7</v>
      </c>
      <c r="N83" s="182">
        <f>+IF(M84&lt;7,M83-1,M83)</f>
        <v>6</v>
      </c>
    </row>
    <row r="84" spans="1:15" customFormat="1" ht="20.100000000000001" customHeight="1" x14ac:dyDescent="0.25">
      <c r="B84" s="268" t="s">
        <v>112</v>
      </c>
      <c r="C84" s="260">
        <f t="shared" ref="C84:J84" si="28">+C83/$C$83</f>
        <v>1</v>
      </c>
      <c r="D84" s="260">
        <f t="shared" si="28"/>
        <v>0.44235090751944683</v>
      </c>
      <c r="E84" s="260">
        <f t="shared" si="28"/>
        <v>0.7078651685393258</v>
      </c>
      <c r="F84" s="260">
        <f t="shared" si="28"/>
        <v>0.7365600691443388</v>
      </c>
      <c r="G84" s="260">
        <f t="shared" si="28"/>
        <v>0.5056179775280899</v>
      </c>
      <c r="H84" s="260">
        <f t="shared" si="28"/>
        <v>0.79498703543647364</v>
      </c>
      <c r="I84" s="260">
        <f t="shared" si="28"/>
        <v>0.40224719101123596</v>
      </c>
      <c r="J84" s="294">
        <f t="shared" si="28"/>
        <v>0.44044943820224719</v>
      </c>
      <c r="M84" s="258">
        <f>+COUNTIFS(요약!$B$11:$B$146,M$83,요약!$L$11:$L$146,"&lt;&gt;0")</f>
        <v>3</v>
      </c>
    </row>
    <row r="85" spans="1:15" customFormat="1" ht="20.100000000000001" customHeight="1" x14ac:dyDescent="0.25">
      <c r="B85" s="264" t="s">
        <v>117</v>
      </c>
      <c r="C85" s="262">
        <f>+IF($N$83&gt;=C82,SUMIFS(요약!$L$11:$L$146,요약!$B$11:$B$146,C$82),0)</f>
        <v>2263</v>
      </c>
      <c r="D85" s="262">
        <f>+IF($N$83&gt;=D82,SUMIFS(요약!$L$11:$L$146,요약!$B$11:$B$146,D$82),0)</f>
        <v>1108</v>
      </c>
      <c r="E85" s="262">
        <f>+IF($N$83&gt;=E82,SUMIFS(요약!$L$11:$L$146,요약!$B$11:$B$146,E$82),0)</f>
        <v>1283</v>
      </c>
      <c r="F85" s="262">
        <f>+IF($N$83&gt;=F82,SUMIFS(요약!$L$11:$L$146,요약!$B$11:$B$146,F$82),0)</f>
        <v>1305</v>
      </c>
      <c r="G85" s="262">
        <f>+IF($N$83&gt;=G82,SUMIFS(요약!$L$11:$L$146,요약!$B$11:$B$146,G$82),0)</f>
        <v>1227</v>
      </c>
      <c r="H85" s="262">
        <f>+IF($N$83&gt;=H82,SUMIFS(요약!$L$11:$L$146,요약!$B$11:$B$146,H$82),0)</f>
        <v>1402</v>
      </c>
      <c r="I85" s="261">
        <f>+IF($N$83&gt;=I82,SUMIFS(요약!$L$11:$L$146,요약!$B$11:$B$146,I$82),0)</f>
        <v>0</v>
      </c>
      <c r="J85" s="295">
        <f>+IF($N$83&gt;=J82,SUMIFS(요약!$L$11:$L$146,요약!$B$11:$B$146,J$82),0)</f>
        <v>0</v>
      </c>
    </row>
    <row r="86" spans="1:15" customFormat="1" ht="20.100000000000001" customHeight="1" x14ac:dyDescent="0.25">
      <c r="B86" s="665" t="s">
        <v>112</v>
      </c>
      <c r="C86" s="666">
        <f>+IF(C85=0,0,C85/$C$85)</f>
        <v>1</v>
      </c>
      <c r="D86" s="666">
        <f t="shared" ref="D86:J86" si="29">+IF(D85=0,0,D85/$C$85)</f>
        <v>0.48961555457357492</v>
      </c>
      <c r="E86" s="666">
        <f t="shared" si="29"/>
        <v>0.56694653115333626</v>
      </c>
      <c r="F86" s="666">
        <f t="shared" si="29"/>
        <v>0.57666813963764918</v>
      </c>
      <c r="G86" s="666">
        <f t="shared" si="29"/>
        <v>0.54220061864781266</v>
      </c>
      <c r="H86" s="666">
        <f t="shared" si="29"/>
        <v>0.61953159522757406</v>
      </c>
      <c r="I86" s="666">
        <f t="shared" si="29"/>
        <v>0</v>
      </c>
      <c r="J86" s="667">
        <f t="shared" si="29"/>
        <v>0</v>
      </c>
      <c r="M86" s="258">
        <f>+COUNTIFS(요약!$B$11:$B$146,M$83,요약!$L$11:$L$146,"&lt;&gt;0")</f>
        <v>3</v>
      </c>
    </row>
    <row r="87" spans="1:15" customFormat="1" ht="20.100000000000001" customHeight="1" x14ac:dyDescent="0.25">
      <c r="B87" s="264" t="s">
        <v>118</v>
      </c>
      <c r="C87" s="262">
        <f>+IF($N$83&lt;C82,$M$82*C84,0)</f>
        <v>0</v>
      </c>
      <c r="D87" s="262">
        <f>+IF($N$83&lt;D82,$M$82*D84,0)</f>
        <v>0</v>
      </c>
      <c r="E87" s="262">
        <f>+IF($N$83&lt;E82,$M$82*E84,0)</f>
        <v>0</v>
      </c>
      <c r="F87" s="262">
        <f>+IF($N$83&lt;F82,ROUND($M$82*F84,-1),0)</f>
        <v>0</v>
      </c>
      <c r="G87" s="262">
        <f>+IF($N$83&lt;G82,ROUND($M$82*G84,-1),0)</f>
        <v>0</v>
      </c>
      <c r="H87" s="262">
        <f>+IF($N$83&lt;H82,ROUND($M$82*H84,-1),0)</f>
        <v>0</v>
      </c>
      <c r="I87" s="263">
        <f>+IF($N$83&lt;I82,ROUND($M$82*I84,-1),0)</f>
        <v>910</v>
      </c>
      <c r="J87" s="286">
        <f>+IF($N$83&lt;J82,ROUND($M$82*J84,-1),0)</f>
        <v>1000</v>
      </c>
    </row>
    <row r="88" spans="1:15" customFormat="1" ht="20.100000000000001" customHeight="1" x14ac:dyDescent="0.25">
      <c r="B88" s="264" t="s">
        <v>126</v>
      </c>
      <c r="C88" s="288">
        <f>+IF(C87=0,SUM(C85,SUBSTITUTE(C87,"E ",""))/C83,"")</f>
        <v>0.39118409680207433</v>
      </c>
      <c r="D88" s="290">
        <f t="shared" ref="D88:G88" si="30">+SUM(D85,SUBSTITUTE(D87,"E ",""))/D83</f>
        <v>0.43298163345056662</v>
      </c>
      <c r="E88" s="290">
        <f t="shared" si="30"/>
        <v>0.31330891330891331</v>
      </c>
      <c r="F88" s="290">
        <f t="shared" si="30"/>
        <v>0.30626613471016195</v>
      </c>
      <c r="G88" s="290">
        <f t="shared" si="30"/>
        <v>0.41948717948717951</v>
      </c>
      <c r="H88" s="296">
        <f>+H87/H83</f>
        <v>0</v>
      </c>
      <c r="I88" s="296">
        <f t="shared" ref="I88:J88" si="31">+I87/I83</f>
        <v>0.39106145251396646</v>
      </c>
      <c r="J88" s="289">
        <f t="shared" si="31"/>
        <v>0.39246467817896391</v>
      </c>
      <c r="L88" s="287">
        <f>+SUM(F85:F87)</f>
        <v>1305.5766681396376</v>
      </c>
    </row>
    <row r="89" spans="1:15" customFormat="1" ht="20.100000000000001" customHeight="1" x14ac:dyDescent="0.25">
      <c r="B89" s="365" t="s">
        <v>111</v>
      </c>
      <c r="C89" s="366">
        <f>+J82+1</f>
        <v>9</v>
      </c>
      <c r="D89" s="366">
        <f>+C89+1</f>
        <v>10</v>
      </c>
      <c r="E89" s="366">
        <f t="shared" ref="E89:H89" si="32">+D89+1</f>
        <v>11</v>
      </c>
      <c r="F89" s="366">
        <f t="shared" si="32"/>
        <v>12</v>
      </c>
      <c r="G89" s="366">
        <f t="shared" si="32"/>
        <v>13</v>
      </c>
      <c r="H89" s="366">
        <f t="shared" si="32"/>
        <v>14</v>
      </c>
      <c r="I89" s="367" t="s">
        <v>237</v>
      </c>
      <c r="J89" s="368"/>
    </row>
    <row r="90" spans="1:15" customFormat="1" ht="20.100000000000001" customHeight="1" x14ac:dyDescent="0.25">
      <c r="B90" s="267" t="s">
        <v>125</v>
      </c>
      <c r="C90" s="261">
        <f>+INDEX(요약!$T$7:$T$20,C$89)</f>
        <v>2430</v>
      </c>
      <c r="D90" s="261">
        <f>+INDEX(요약!$T$7:$T$20,D$89)</f>
        <v>2379</v>
      </c>
      <c r="E90" s="261">
        <f>+INDEX(요약!$T$7:$T$20,E$89)</f>
        <v>1625</v>
      </c>
      <c r="F90" s="261">
        <f>+INDEX(요약!$T$7:$T$20,F$89)</f>
        <v>1938</v>
      </c>
      <c r="G90" s="261">
        <f>+INDEX(요약!$T$7:$T$20,G$89)</f>
        <v>3138</v>
      </c>
      <c r="H90" s="261">
        <f>+INDEX(요약!$T$7:$T$20,H$89)</f>
        <v>1936</v>
      </c>
      <c r="I90" s="270">
        <f>+SUM(C83:J83,C90:H90)</f>
        <v>42545</v>
      </c>
      <c r="J90" s="54"/>
    </row>
    <row r="91" spans="1:15" customFormat="1" ht="20.100000000000001" customHeight="1" x14ac:dyDescent="0.25">
      <c r="B91" s="268" t="s">
        <v>112</v>
      </c>
      <c r="C91" s="260">
        <f t="shared" ref="C91:H91" si="33">+C90/$C$83</f>
        <v>0.42005185825410546</v>
      </c>
      <c r="D91" s="260">
        <f t="shared" si="33"/>
        <v>0.41123595505617977</v>
      </c>
      <c r="E91" s="260">
        <f t="shared" si="33"/>
        <v>0.2808988764044944</v>
      </c>
      <c r="F91" s="260">
        <f t="shared" si="33"/>
        <v>0.33500432152117543</v>
      </c>
      <c r="G91" s="260">
        <f t="shared" si="33"/>
        <v>0.5424373379429559</v>
      </c>
      <c r="H91" s="260">
        <f t="shared" si="33"/>
        <v>0.33465859982713914</v>
      </c>
      <c r="I91" s="265">
        <f>+SUM($C$85:$J$85,$C$92:$H$92)</f>
        <v>8588</v>
      </c>
      <c r="J91" s="54"/>
      <c r="M91" s="258">
        <f>+COUNTIFS(요약!$B$11:$B$146,M$83,요약!$L$11:$L$146,"&lt;&gt;0")</f>
        <v>3</v>
      </c>
    </row>
    <row r="92" spans="1:15" customFormat="1" ht="20.100000000000001" customHeight="1" x14ac:dyDescent="0.25">
      <c r="B92" s="264" t="s">
        <v>117</v>
      </c>
      <c r="C92" s="261">
        <f>+IF($N$83&gt;=C89,SUMIFS(요약!$L$11:$L$146,요약!$B$11:$B$146,C$82),0)</f>
        <v>0</v>
      </c>
      <c r="D92" s="261">
        <f>+IF($N$83&gt;=D89,SUMIFS(요약!$L$11:$L$146,요약!$B$11:$B$146,D$82),0)</f>
        <v>0</v>
      </c>
      <c r="E92" s="261">
        <f>+IF($N$83&gt;=E89,SUMIFS(요약!$L$11:$L$146,요약!$B$11:$B$146,E$82),0)</f>
        <v>0</v>
      </c>
      <c r="F92" s="261">
        <f>+IF($N$83&gt;=F89,SUMIFS(요약!$L$11:$L$146,요약!$B$11:$B$146,F$82),0)</f>
        <v>0</v>
      </c>
      <c r="G92" s="261">
        <f>+IF($N$83&gt;=G89,SUMIFS(요약!$L$11:$L$146,요약!$B$11:$B$146,G$82),0)</f>
        <v>0</v>
      </c>
      <c r="H92" s="261">
        <f>+IF($N$83&gt;=H89,SUMIFS(요약!$L$11:$L$146,요약!$B$11:$B$146,H$82),0)</f>
        <v>0</v>
      </c>
      <c r="I92" s="266">
        <f>+SUM($C$87:$J$87,$C$94:$H$94)</f>
        <v>7180</v>
      </c>
      <c r="J92" s="229"/>
    </row>
    <row r="93" spans="1:15" customFormat="1" ht="20.100000000000001" customHeight="1" x14ac:dyDescent="0.25">
      <c r="B93" s="665" t="s">
        <v>112</v>
      </c>
      <c r="C93" s="666">
        <f>+IF(C92=0,0,C92/$C$85)</f>
        <v>0</v>
      </c>
      <c r="D93" s="666">
        <f t="shared" ref="D93" si="34">+IF(D92=0,0,D92/$C$85)</f>
        <v>0</v>
      </c>
      <c r="E93" s="666">
        <f t="shared" ref="E93" si="35">+IF(E92=0,0,E92/$C$85)</f>
        <v>0</v>
      </c>
      <c r="F93" s="666">
        <f t="shared" ref="F93" si="36">+IF(F92=0,0,F92/$C$85)</f>
        <v>0</v>
      </c>
      <c r="G93" s="666">
        <f t="shared" ref="G93" si="37">+IF(G92=0,0,G92/$C$85)</f>
        <v>0</v>
      </c>
      <c r="H93" s="666">
        <f t="shared" ref="H93" si="38">+IF(H92=0,0,H92/$C$85)</f>
        <v>0</v>
      </c>
      <c r="I93" s="663">
        <f>+I91+I92</f>
        <v>15768</v>
      </c>
      <c r="J93" s="664"/>
    </row>
    <row r="94" spans="1:15" customFormat="1" ht="20.100000000000001" customHeight="1" x14ac:dyDescent="0.25">
      <c r="B94" s="264" t="s">
        <v>119</v>
      </c>
      <c r="C94" s="263">
        <f t="shared" ref="C94:H94" si="39">+IF($N$83&lt;C89,ROUND($M$82*C91,-1),0)</f>
        <v>950</v>
      </c>
      <c r="D94" s="263">
        <f t="shared" si="39"/>
        <v>930</v>
      </c>
      <c r="E94" s="263">
        <f t="shared" si="39"/>
        <v>640</v>
      </c>
      <c r="F94" s="263">
        <f t="shared" si="39"/>
        <v>760</v>
      </c>
      <c r="G94" s="263">
        <f t="shared" si="39"/>
        <v>1230</v>
      </c>
      <c r="H94" s="263">
        <f t="shared" si="39"/>
        <v>760</v>
      </c>
      <c r="I94" s="55"/>
      <c r="J94" s="55"/>
    </row>
    <row r="95" spans="1:15" customFormat="1" ht="20.100000000000001" customHeight="1" x14ac:dyDescent="0.25">
      <c r="B95" s="269" t="s">
        <v>126</v>
      </c>
      <c r="C95" s="296">
        <f t="shared" ref="C95:H95" si="40">+SUM(C92,SUBSTITUTE(C94,"E ",""))/C90</f>
        <v>0.39094650205761317</v>
      </c>
      <c r="D95" s="296">
        <f t="shared" si="40"/>
        <v>0.39092055485498106</v>
      </c>
      <c r="E95" s="296">
        <f t="shared" si="40"/>
        <v>0.39384615384615385</v>
      </c>
      <c r="F95" s="296">
        <f t="shared" si="40"/>
        <v>0.39215686274509803</v>
      </c>
      <c r="G95" s="296">
        <f t="shared" si="40"/>
        <v>0.39196940726577439</v>
      </c>
      <c r="H95" s="296">
        <f t="shared" si="40"/>
        <v>0.3925619834710744</v>
      </c>
      <c r="I95" s="291"/>
      <c r="J95" s="292"/>
    </row>
    <row r="96" spans="1:15" s="55" customFormat="1" ht="15.75" customHeight="1" x14ac:dyDescent="0.25">
      <c r="A96" s="316"/>
      <c r="B96" s="317"/>
      <c r="C96" s="318"/>
      <c r="D96" s="318"/>
      <c r="E96" s="318"/>
      <c r="F96" s="318"/>
      <c r="G96" s="318"/>
      <c r="H96" s="318"/>
      <c r="I96" s="318"/>
      <c r="J96" s="141"/>
    </row>
    <row r="97" spans="1:10" ht="29.25" customHeight="1" x14ac:dyDescent="0.25">
      <c r="A97" s="973">
        <f>+$F$8</f>
        <v>45</v>
      </c>
      <c r="B97" s="973"/>
      <c r="C97" s="973"/>
      <c r="D97" s="973"/>
      <c r="E97" s="973"/>
      <c r="F97" s="973"/>
      <c r="G97" s="973"/>
      <c r="H97" s="973"/>
      <c r="I97" s="973"/>
      <c r="J97" s="314"/>
    </row>
    <row r="98" spans="1:10" ht="29.25" customHeight="1" x14ac:dyDescent="0.25">
      <c r="A98" s="319"/>
      <c r="B98" s="320"/>
      <c r="C98" s="320"/>
      <c r="D98" s="320"/>
      <c r="E98" s="320"/>
      <c r="F98" s="320"/>
      <c r="G98" s="320"/>
      <c r="H98" s="320"/>
      <c r="I98" s="320"/>
      <c r="J98" s="314"/>
    </row>
    <row r="99" spans="1:10" ht="29.25" customHeight="1" x14ac:dyDescent="0.25">
      <c r="A99" s="319"/>
      <c r="B99" s="320"/>
      <c r="C99" s="320"/>
      <c r="D99" s="320"/>
      <c r="E99" s="320"/>
      <c r="F99" s="320"/>
      <c r="G99" s="320"/>
      <c r="H99" s="320"/>
      <c r="I99" s="320"/>
      <c r="J99" s="314"/>
    </row>
    <row r="100" spans="1:10" ht="29.25" customHeight="1" x14ac:dyDescent="0.25">
      <c r="A100" s="319"/>
      <c r="B100" s="320"/>
      <c r="C100" s="320"/>
      <c r="D100" s="320"/>
      <c r="E100" s="320"/>
      <c r="F100" s="320"/>
      <c r="G100" s="320"/>
      <c r="H100" s="320"/>
      <c r="I100" s="320"/>
      <c r="J100" s="314"/>
    </row>
    <row r="101" spans="1:10" ht="29.25" customHeight="1" x14ac:dyDescent="0.25">
      <c r="A101" s="319"/>
      <c r="B101" s="320"/>
      <c r="C101" s="320"/>
      <c r="D101" s="320"/>
      <c r="E101" s="320"/>
      <c r="F101" s="320"/>
      <c r="G101" s="320"/>
      <c r="H101" s="320"/>
      <c r="I101" s="320"/>
      <c r="J101" s="314"/>
    </row>
    <row r="102" spans="1:10" ht="29.25" customHeight="1" x14ac:dyDescent="0.25">
      <c r="A102" s="319"/>
      <c r="B102" s="320"/>
      <c r="C102" s="320"/>
      <c r="D102" s="320"/>
      <c r="E102" s="320"/>
      <c r="F102" s="320"/>
      <c r="G102" s="320"/>
      <c r="H102" s="320"/>
      <c r="I102" s="320"/>
      <c r="J102" s="314"/>
    </row>
    <row r="103" spans="1:10" ht="29.25" customHeight="1" x14ac:dyDescent="0.25">
      <c r="A103" s="319"/>
      <c r="B103" s="320"/>
      <c r="C103" s="320"/>
      <c r="D103" s="320"/>
      <c r="E103" s="320"/>
      <c r="F103" s="320"/>
      <c r="G103" s="320"/>
      <c r="H103" s="320"/>
      <c r="I103" s="320"/>
      <c r="J103" s="314"/>
    </row>
    <row r="104" spans="1:10" ht="29.25" customHeight="1" x14ac:dyDescent="0.25">
      <c r="A104" s="319"/>
      <c r="B104" s="320"/>
      <c r="C104" s="320"/>
      <c r="D104" s="320"/>
      <c r="E104" s="320"/>
      <c r="F104" s="320"/>
      <c r="G104" s="320"/>
      <c r="H104" s="320"/>
      <c r="I104" s="320"/>
      <c r="J104" s="314"/>
    </row>
    <row r="105" spans="1:10" ht="29.25" customHeight="1" x14ac:dyDescent="0.25">
      <c r="A105" s="319"/>
      <c r="B105" s="320"/>
      <c r="C105" s="320"/>
      <c r="D105" s="320"/>
      <c r="E105" s="320"/>
      <c r="F105" s="320"/>
      <c r="G105" s="320"/>
      <c r="H105" s="320"/>
      <c r="I105" s="320"/>
      <c r="J105" s="314"/>
    </row>
    <row r="106" spans="1:10" ht="29.25" customHeight="1" x14ac:dyDescent="0.25">
      <c r="A106" s="319"/>
      <c r="B106" s="320"/>
      <c r="C106" s="320"/>
      <c r="D106" s="320"/>
      <c r="E106" s="320"/>
      <c r="F106" s="320"/>
      <c r="G106" s="320"/>
      <c r="H106" s="320"/>
      <c r="I106" s="320"/>
      <c r="J106" s="314"/>
    </row>
    <row r="107" spans="1:10" ht="29.25" customHeight="1" x14ac:dyDescent="0.25">
      <c r="A107" s="319"/>
      <c r="B107" s="320"/>
      <c r="C107" s="320"/>
      <c r="D107" s="320"/>
      <c r="E107" s="320"/>
      <c r="F107" s="320"/>
      <c r="G107" s="320"/>
      <c r="H107" s="320"/>
      <c r="I107" s="320"/>
      <c r="J107" s="314"/>
    </row>
    <row r="108" spans="1:10" ht="29.25" customHeight="1" x14ac:dyDescent="0.25">
      <c r="A108" s="319"/>
      <c r="B108" s="320"/>
      <c r="C108" s="320"/>
      <c r="D108" s="320"/>
      <c r="E108" s="320"/>
      <c r="F108" s="320"/>
      <c r="G108" s="320"/>
      <c r="H108" s="320"/>
      <c r="I108" s="320"/>
      <c r="J108" s="314"/>
    </row>
    <row r="109" spans="1:10" ht="29.25" customHeight="1" x14ac:dyDescent="0.25">
      <c r="A109" s="319"/>
      <c r="B109" s="320"/>
      <c r="C109" s="320"/>
      <c r="D109" s="320"/>
      <c r="E109" s="320"/>
      <c r="F109" s="320"/>
      <c r="G109" s="320"/>
      <c r="H109" s="320"/>
      <c r="I109" s="320"/>
      <c r="J109" s="314"/>
    </row>
    <row r="110" spans="1:10" ht="29.25" customHeight="1" x14ac:dyDescent="0.25">
      <c r="A110" s="319"/>
      <c r="B110" s="320"/>
      <c r="C110" s="320"/>
      <c r="D110" s="320"/>
      <c r="E110" s="320"/>
      <c r="F110" s="320"/>
      <c r="G110" s="320"/>
      <c r="H110" s="320"/>
      <c r="I110" s="320"/>
      <c r="J110" s="314"/>
    </row>
    <row r="111" spans="1:10" ht="29.25" customHeight="1" x14ac:dyDescent="0.25">
      <c r="A111" s="319"/>
      <c r="B111" s="320"/>
      <c r="C111" s="320"/>
      <c r="D111" s="320"/>
      <c r="E111" s="320"/>
      <c r="F111" s="320"/>
      <c r="G111" s="320"/>
      <c r="H111" s="320"/>
      <c r="I111" s="320"/>
      <c r="J111" s="314"/>
    </row>
    <row r="112" spans="1:10" ht="29.25" customHeight="1" x14ac:dyDescent="0.25">
      <c r="A112" s="319"/>
      <c r="B112" s="320"/>
      <c r="C112" s="320"/>
      <c r="D112" s="320"/>
      <c r="E112" s="320"/>
      <c r="F112" s="320"/>
      <c r="G112" s="320"/>
      <c r="H112" s="320"/>
      <c r="I112" s="320"/>
      <c r="J112" s="314"/>
    </row>
    <row r="113" spans="1:16" ht="29.25" customHeight="1" x14ac:dyDescent="0.25">
      <c r="A113" s="319"/>
      <c r="B113" s="320"/>
      <c r="C113" s="320"/>
      <c r="D113" s="320"/>
      <c r="E113" s="320"/>
      <c r="F113" s="320"/>
      <c r="G113" s="320"/>
      <c r="H113" s="320"/>
      <c r="I113" s="320"/>
      <c r="J113" s="314"/>
    </row>
    <row r="114" spans="1:16" ht="29.25" customHeight="1" x14ac:dyDescent="0.25">
      <c r="A114" s="319"/>
      <c r="B114" s="320"/>
      <c r="C114" s="320"/>
      <c r="D114" s="320"/>
      <c r="E114" s="320"/>
      <c r="F114" s="320"/>
      <c r="G114" s="320"/>
      <c r="H114" s="320"/>
      <c r="I114" s="320"/>
      <c r="J114" s="314"/>
    </row>
    <row r="115" spans="1:16" ht="29.25" customHeight="1" x14ac:dyDescent="0.25">
      <c r="A115" s="319"/>
      <c r="B115" s="320"/>
      <c r="C115" s="320"/>
      <c r="D115" s="320"/>
      <c r="E115" s="320"/>
      <c r="F115" s="320"/>
      <c r="G115" s="320"/>
      <c r="H115" s="320"/>
      <c r="I115" s="320"/>
      <c r="J115" s="314"/>
    </row>
    <row r="116" spans="1:16" s="55" customFormat="1" ht="29.25" customHeight="1" x14ac:dyDescent="0.25">
      <c r="A116" s="974">
        <f>+$F$8</f>
        <v>45</v>
      </c>
      <c r="B116" s="974"/>
      <c r="C116" s="974"/>
      <c r="D116" s="974"/>
      <c r="E116" s="974"/>
      <c r="F116" s="974"/>
      <c r="G116" s="974"/>
      <c r="H116" s="974"/>
      <c r="I116" s="974"/>
      <c r="J116" s="314"/>
      <c r="K116" s="36"/>
      <c r="L116" s="36"/>
      <c r="M116" s="36"/>
      <c r="N116" s="36"/>
      <c r="O116" s="36"/>
      <c r="P116" s="36"/>
    </row>
    <row r="117" spans="1:16" ht="29.25" customHeight="1" x14ac:dyDescent="0.25">
      <c r="A117" s="319"/>
      <c r="B117" s="320"/>
      <c r="C117" s="320"/>
      <c r="D117" s="320"/>
      <c r="E117" s="320"/>
      <c r="F117" s="320"/>
      <c r="G117" s="320"/>
      <c r="H117" s="320"/>
      <c r="I117" s="320"/>
      <c r="J117" s="314"/>
    </row>
    <row r="118" spans="1:16" ht="29.25" customHeight="1" x14ac:dyDescent="0.25">
      <c r="A118" s="319"/>
      <c r="B118" s="320"/>
      <c r="C118" s="320"/>
      <c r="D118" s="320"/>
      <c r="E118" s="320"/>
      <c r="F118" s="320"/>
      <c r="G118" s="320"/>
      <c r="H118" s="320"/>
      <c r="I118" s="320"/>
      <c r="J118" s="314"/>
    </row>
    <row r="119" spans="1:16" ht="29.25" customHeight="1" x14ac:dyDescent="0.25">
      <c r="A119" s="319"/>
      <c r="B119" s="320"/>
      <c r="C119" s="320"/>
      <c r="D119" s="320"/>
      <c r="E119" s="320"/>
      <c r="F119" s="320"/>
      <c r="G119" s="320"/>
      <c r="H119" s="320"/>
      <c r="I119" s="320"/>
      <c r="J119" s="314"/>
    </row>
    <row r="120" spans="1:16" ht="29.25" customHeight="1" x14ac:dyDescent="0.25">
      <c r="A120" s="319"/>
      <c r="B120" s="320"/>
      <c r="C120" s="320"/>
      <c r="D120" s="320"/>
      <c r="E120" s="320"/>
      <c r="F120" s="320"/>
      <c r="G120" s="320"/>
      <c r="H120" s="320"/>
      <c r="I120" s="320"/>
      <c r="J120" s="314"/>
    </row>
    <row r="121" spans="1:16" ht="29.25" customHeight="1" x14ac:dyDescent="0.25">
      <c r="A121" s="319"/>
      <c r="B121" s="320"/>
      <c r="C121" s="320"/>
      <c r="D121" s="320"/>
      <c r="E121" s="320"/>
      <c r="F121" s="320"/>
      <c r="G121" s="320"/>
      <c r="H121" s="320"/>
      <c r="I121" s="320"/>
      <c r="J121" s="314"/>
    </row>
    <row r="122" spans="1:16" ht="29.25" customHeight="1" x14ac:dyDescent="0.25">
      <c r="A122" s="319"/>
      <c r="B122" s="320"/>
      <c r="C122" s="320"/>
      <c r="D122" s="320"/>
      <c r="E122" s="320"/>
      <c r="F122" s="320"/>
      <c r="G122" s="320"/>
      <c r="H122" s="320"/>
      <c r="I122" s="320"/>
      <c r="J122" s="314"/>
    </row>
    <row r="123" spans="1:16" ht="29.25" customHeight="1" x14ac:dyDescent="0.25">
      <c r="A123" s="319"/>
      <c r="B123" s="320"/>
      <c r="C123" s="320"/>
      <c r="D123" s="320"/>
      <c r="E123" s="320"/>
      <c r="F123" s="320"/>
      <c r="G123" s="320"/>
      <c r="H123" s="320"/>
      <c r="I123" s="320"/>
      <c r="J123" s="314"/>
    </row>
    <row r="124" spans="1:16" ht="29.25" customHeight="1" x14ac:dyDescent="0.25">
      <c r="A124" s="319"/>
      <c r="B124" s="320"/>
      <c r="C124" s="320"/>
      <c r="D124" s="320"/>
      <c r="E124" s="320"/>
      <c r="F124" s="320"/>
      <c r="G124" s="320"/>
      <c r="H124" s="320"/>
      <c r="I124" s="320"/>
      <c r="J124" s="314"/>
    </row>
    <row r="125" spans="1:16" ht="29.25" customHeight="1" x14ac:dyDescent="0.25">
      <c r="A125" s="319"/>
      <c r="B125" s="320"/>
      <c r="C125" s="320"/>
      <c r="D125" s="320"/>
      <c r="E125" s="320"/>
      <c r="F125" s="320"/>
      <c r="G125" s="320"/>
      <c r="H125" s="320"/>
      <c r="I125" s="320"/>
      <c r="J125" s="314"/>
    </row>
    <row r="126" spans="1:16" ht="29.25" customHeight="1" x14ac:dyDescent="0.25">
      <c r="A126" s="315"/>
      <c r="B126" s="314"/>
      <c r="C126" s="314"/>
      <c r="D126" s="314"/>
      <c r="E126" s="314"/>
      <c r="F126" s="314"/>
      <c r="G126" s="314"/>
      <c r="H126" s="314"/>
      <c r="I126" s="314"/>
      <c r="J126" s="314"/>
    </row>
    <row r="127" spans="1:16" ht="29.25" customHeight="1" x14ac:dyDescent="0.25">
      <c r="A127" s="315"/>
      <c r="B127" s="314"/>
      <c r="C127" s="314"/>
      <c r="D127" s="314"/>
      <c r="E127" s="314"/>
      <c r="F127" s="314"/>
      <c r="G127" s="314"/>
      <c r="H127" s="314"/>
      <c r="I127" s="314"/>
      <c r="J127" s="314"/>
    </row>
    <row r="128" spans="1:16" ht="29.25" customHeight="1" x14ac:dyDescent="0.25">
      <c r="A128" s="315"/>
      <c r="B128" s="314"/>
      <c r="C128" s="314"/>
      <c r="D128" s="314"/>
      <c r="E128" s="314"/>
      <c r="F128" s="314"/>
      <c r="G128" s="314"/>
      <c r="H128" s="314"/>
      <c r="I128" s="314"/>
      <c r="J128" s="314"/>
    </row>
    <row r="129" spans="1:19" ht="29.25" customHeight="1" x14ac:dyDescent="0.25">
      <c r="A129" s="315"/>
      <c r="B129" s="314"/>
      <c r="C129" s="314"/>
      <c r="D129" s="314"/>
      <c r="E129" s="314"/>
      <c r="F129" s="314"/>
      <c r="G129" s="314"/>
      <c r="H129" s="314"/>
      <c r="I129" s="314"/>
      <c r="J129" s="314"/>
    </row>
    <row r="130" spans="1:19" ht="29.25" customHeight="1" x14ac:dyDescent="0.25">
      <c r="A130" s="315"/>
      <c r="B130" s="314"/>
      <c r="C130" s="314"/>
      <c r="D130" s="314"/>
      <c r="E130" s="314"/>
      <c r="F130" s="314"/>
      <c r="G130" s="314"/>
      <c r="H130" s="314"/>
      <c r="I130" s="314"/>
      <c r="J130" s="314"/>
    </row>
    <row r="131" spans="1:19" ht="29.25" customHeight="1" x14ac:dyDescent="0.25">
      <c r="A131" s="315"/>
      <c r="B131" s="314"/>
      <c r="C131" s="314"/>
      <c r="D131" s="314"/>
      <c r="E131" s="314"/>
      <c r="F131" s="314"/>
      <c r="G131" s="314"/>
      <c r="H131" s="314"/>
      <c r="I131" s="314"/>
      <c r="J131" s="314"/>
    </row>
    <row r="132" spans="1:19" ht="29.25" customHeight="1" x14ac:dyDescent="0.25">
      <c r="A132" s="315"/>
      <c r="B132" s="314"/>
      <c r="C132" s="314"/>
      <c r="D132" s="314"/>
      <c r="E132" s="314"/>
      <c r="F132" s="314"/>
      <c r="G132" s="314"/>
      <c r="H132" s="314"/>
      <c r="I132" s="314"/>
      <c r="J132" s="314"/>
    </row>
    <row r="133" spans="1:19" ht="13.5" customHeight="1" x14ac:dyDescent="0.25">
      <c r="A133" s="315"/>
      <c r="B133" s="314"/>
      <c r="C133" s="314"/>
      <c r="D133" s="314"/>
      <c r="E133" s="314"/>
      <c r="F133" s="314"/>
      <c r="G133" s="314"/>
      <c r="H133" s="314"/>
      <c r="I133" s="314"/>
      <c r="J133" s="314"/>
    </row>
    <row r="134" spans="1:19" ht="29.25" customHeight="1" x14ac:dyDescent="0.25">
      <c r="A134" s="315"/>
      <c r="B134" s="314"/>
      <c r="C134" s="314"/>
      <c r="D134" s="314"/>
      <c r="E134" s="314"/>
      <c r="F134" s="314"/>
      <c r="G134" s="314"/>
      <c r="H134" s="314"/>
      <c r="I134" s="314"/>
      <c r="J134" s="314"/>
    </row>
    <row r="135" spans="1:19" ht="29.25" customHeight="1" x14ac:dyDescent="0.25">
      <c r="A135" s="315"/>
      <c r="B135" s="314"/>
      <c r="C135" s="314"/>
      <c r="D135" s="314"/>
      <c r="E135" s="314"/>
      <c r="F135" s="314"/>
      <c r="G135" s="314"/>
      <c r="H135" s="314"/>
      <c r="I135" s="314"/>
      <c r="J135" s="314"/>
    </row>
    <row r="136" spans="1:19" ht="29.25" customHeight="1" x14ac:dyDescent="0.25">
      <c r="A136" s="315"/>
      <c r="B136" s="314"/>
      <c r="C136" s="314"/>
      <c r="D136" s="314"/>
      <c r="E136" s="314"/>
      <c r="F136" s="314"/>
      <c r="G136" s="314"/>
      <c r="H136" s="314"/>
      <c r="I136" s="314"/>
      <c r="J136" s="314"/>
    </row>
    <row r="137" spans="1:19" ht="29.25" customHeight="1" x14ac:dyDescent="0.25">
      <c r="A137" s="315"/>
      <c r="B137" s="314"/>
      <c r="C137" s="314"/>
      <c r="D137" s="314"/>
      <c r="E137" s="314"/>
      <c r="F137" s="314"/>
      <c r="G137" s="314"/>
      <c r="H137" s="314"/>
      <c r="I137" s="314"/>
      <c r="J137" s="314"/>
    </row>
    <row r="138" spans="1:19" ht="29.25" customHeight="1" x14ac:dyDescent="0.25">
      <c r="A138" s="315"/>
      <c r="B138" s="314"/>
      <c r="C138" s="314"/>
      <c r="D138" s="314"/>
      <c r="E138" s="314"/>
      <c r="F138" s="314"/>
      <c r="G138" s="314"/>
      <c r="H138" s="314"/>
      <c r="I138" s="314"/>
      <c r="J138" s="314"/>
    </row>
    <row r="139" spans="1:19" ht="29.25" customHeight="1" x14ac:dyDescent="0.25">
      <c r="A139" s="315"/>
      <c r="B139" s="314"/>
      <c r="C139" s="314"/>
      <c r="D139" s="314"/>
      <c r="E139" s="314"/>
      <c r="F139" s="314"/>
      <c r="G139" s="314"/>
      <c r="H139" s="314"/>
      <c r="I139" s="314"/>
      <c r="J139" s="314"/>
    </row>
    <row r="140" spans="1:19" ht="14.25" customHeight="1" x14ac:dyDescent="0.25">
      <c r="A140" s="315"/>
      <c r="B140" s="314"/>
      <c r="C140" s="314"/>
      <c r="D140" s="314"/>
      <c r="E140" s="314"/>
      <c r="F140" s="314"/>
      <c r="G140" s="314"/>
      <c r="H140" s="314"/>
      <c r="I140" s="314"/>
      <c r="J140" s="314"/>
    </row>
    <row r="141" spans="1:19" ht="29.25" customHeight="1" x14ac:dyDescent="0.25">
      <c r="A141" s="594" t="s">
        <v>211</v>
      </c>
      <c r="B141" s="593"/>
      <c r="C141" s="314"/>
      <c r="D141" s="314"/>
      <c r="E141" s="314"/>
      <c r="F141" s="314"/>
      <c r="G141" s="314"/>
      <c r="H141" s="314"/>
      <c r="I141" s="314"/>
      <c r="J141" s="56"/>
    </row>
    <row r="142" spans="1:19" ht="12" customHeight="1" x14ac:dyDescent="0.25">
      <c r="A142" s="275"/>
      <c r="B142" s="314"/>
      <c r="C142" s="314"/>
      <c r="D142" s="535" t="s">
        <v>193</v>
      </c>
      <c r="E142" s="535" t="s">
        <v>193</v>
      </c>
      <c r="F142" s="314"/>
      <c r="G142" s="314"/>
      <c r="H142" s="314"/>
      <c r="I142" s="314"/>
      <c r="J142" s="534" t="s">
        <v>191</v>
      </c>
    </row>
    <row r="143" spans="1:19" ht="24" customHeight="1" x14ac:dyDescent="0.25">
      <c r="A143" s="57" t="s">
        <v>190</v>
      </c>
      <c r="B143" s="45" t="s">
        <v>276</v>
      </c>
      <c r="C143" s="45" t="str">
        <f>+C$74</f>
        <v>바스키아</v>
      </c>
      <c r="D143" s="189" t="str">
        <f t="shared" ref="D143:J143" si="41">+D$74</f>
        <v>김정기</v>
      </c>
      <c r="E143" s="189" t="str">
        <f t="shared" si="41"/>
        <v>드리머</v>
      </c>
      <c r="F143" s="45" t="str">
        <f t="shared" si="41"/>
        <v>알렉스</v>
      </c>
      <c r="G143" s="45" t="str">
        <f t="shared" si="41"/>
        <v>페어리</v>
      </c>
      <c r="H143" s="45" t="str">
        <f t="shared" si="41"/>
        <v>마르지엘라</v>
      </c>
      <c r="I143" s="45" t="str">
        <f t="shared" si="41"/>
        <v>제이알</v>
      </c>
      <c r="J143" s="75" t="str">
        <f t="shared" si="41"/>
        <v>오스틴 리</v>
      </c>
      <c r="L143" s="36" t="s">
        <v>234</v>
      </c>
    </row>
    <row r="144" spans="1:19" ht="22.5" customHeight="1" x14ac:dyDescent="0.25">
      <c r="A144" s="865">
        <v>1</v>
      </c>
      <c r="B144" s="866">
        <f>+주차별보고v2!C18</f>
        <v>2263</v>
      </c>
      <c r="C144" s="866">
        <f>+요약!O7</f>
        <v>7509</v>
      </c>
      <c r="D144" s="866">
        <f>+요약!P7</f>
        <v>845</v>
      </c>
      <c r="E144" s="866">
        <f>+요약!Q7</f>
        <v>810</v>
      </c>
      <c r="F144" s="866">
        <f>+요약!R7</f>
        <v>1920</v>
      </c>
      <c r="G144" s="866">
        <f>+요약!S7</f>
        <v>2090</v>
      </c>
      <c r="H144" s="866">
        <f>+요약!T7</f>
        <v>5785</v>
      </c>
      <c r="I144" s="866">
        <f>+요약!U7</f>
        <v>990</v>
      </c>
      <c r="J144" s="867">
        <f>+요약!V7</f>
        <v>1797</v>
      </c>
      <c r="L144" s="601">
        <f>+RSQ(C144:C163,$A$144:$A$163)</f>
        <v>4.5535366696134874E-3</v>
      </c>
      <c r="M144" s="601">
        <f>+RSQ(D144:D156,$A$144:$A$156)</f>
        <v>0.43355298290288447</v>
      </c>
      <c r="N144" s="601">
        <f>+RSQ(E144:E158,$A$144:$A$158)</f>
        <v>0.65594678016823582</v>
      </c>
      <c r="O144" s="601">
        <f>+RSQ(F144:F158,$A$144:$A$158)</f>
        <v>3.0624142496685652E-5</v>
      </c>
      <c r="P144" s="601">
        <f>+RSQ(G144:G158,$A$144:$A$158)</f>
        <v>6.6508803626648169E-2</v>
      </c>
      <c r="Q144" s="601">
        <f>+RSQ(H144:H157,$A$144:$A$157)</f>
        <v>0.4787868259987198</v>
      </c>
      <c r="R144" s="601">
        <f>+RSQ(I144:I157,$A$144:$A$157)</f>
        <v>0.62598644989092056</v>
      </c>
      <c r="S144" s="601">
        <f>+RSQ(J144:J157,$A$144:$A$157)</f>
        <v>0.49424024542441536</v>
      </c>
    </row>
    <row r="145" spans="1:20" ht="22.5" customHeight="1" x14ac:dyDescent="0.25">
      <c r="A145" s="872">
        <f t="shared" ref="A145:A163" si="42">+A144+1</f>
        <v>2</v>
      </c>
      <c r="B145" s="873">
        <f>+주차별보고v2!C19</f>
        <v>1108</v>
      </c>
      <c r="C145" s="873">
        <f>+요약!O8</f>
        <v>6055</v>
      </c>
      <c r="D145" s="873">
        <f>+요약!P8</f>
        <v>868</v>
      </c>
      <c r="E145" s="873">
        <f>+요약!Q8</f>
        <v>1218</v>
      </c>
      <c r="F145" s="873">
        <f>+요약!R8</f>
        <v>1953</v>
      </c>
      <c r="G145" s="873">
        <f>+요약!S8</f>
        <v>1929</v>
      </c>
      <c r="H145" s="873">
        <f>+요약!T8</f>
        <v>2559</v>
      </c>
      <c r="I145" s="873">
        <f>+요약!U8</f>
        <v>875</v>
      </c>
      <c r="J145" s="874">
        <f>+요약!V8</f>
        <v>1912</v>
      </c>
    </row>
    <row r="146" spans="1:20" ht="22.5" customHeight="1" x14ac:dyDescent="0.25">
      <c r="A146" s="872">
        <f t="shared" si="42"/>
        <v>3</v>
      </c>
      <c r="B146" s="873">
        <f>+주차별보고v2!C20</f>
        <v>1283</v>
      </c>
      <c r="C146" s="873">
        <f>+요약!O9</f>
        <v>5911</v>
      </c>
      <c r="D146" s="873">
        <f>+요약!P9</f>
        <v>1152</v>
      </c>
      <c r="E146" s="873">
        <f>+요약!Q9</f>
        <v>847</v>
      </c>
      <c r="F146" s="873">
        <f>+요약!R9</f>
        <v>2011</v>
      </c>
      <c r="G146" s="873">
        <f>+요약!S9</f>
        <v>2139</v>
      </c>
      <c r="H146" s="873">
        <f>+요약!T9</f>
        <v>4095</v>
      </c>
      <c r="I146" s="873">
        <f>+요약!U9</f>
        <v>908</v>
      </c>
      <c r="J146" s="874">
        <f>+요약!V9</f>
        <v>1558</v>
      </c>
    </row>
    <row r="147" spans="1:20" ht="22.5" customHeight="1" x14ac:dyDescent="0.25">
      <c r="A147" s="872">
        <f t="shared" si="42"/>
        <v>4</v>
      </c>
      <c r="B147" s="873">
        <f>+주차별보고v2!C21</f>
        <v>1305</v>
      </c>
      <c r="C147" s="873">
        <f>+요약!O10</f>
        <v>5843</v>
      </c>
      <c r="D147" s="873">
        <f>+요약!P10</f>
        <v>840</v>
      </c>
      <c r="E147" s="873">
        <f>+요약!Q10</f>
        <v>1082</v>
      </c>
      <c r="F147" s="873">
        <f>+요약!R10</f>
        <v>2419</v>
      </c>
      <c r="G147" s="873">
        <f>+요약!S10</f>
        <v>1774</v>
      </c>
      <c r="H147" s="873">
        <f>+요약!T10</f>
        <v>4261</v>
      </c>
      <c r="I147" s="873">
        <f>+요약!U10</f>
        <v>1020</v>
      </c>
      <c r="J147" s="874">
        <f>+요약!V10</f>
        <v>1646</v>
      </c>
    </row>
    <row r="148" spans="1:20" ht="22.5" customHeight="1" x14ac:dyDescent="0.25">
      <c r="A148" s="872">
        <f t="shared" si="42"/>
        <v>5</v>
      </c>
      <c r="B148" s="873">
        <f>+주차별보고v2!C22</f>
        <v>1227</v>
      </c>
      <c r="C148" s="873">
        <f>+요약!O11</f>
        <v>6046</v>
      </c>
      <c r="D148" s="873">
        <f>+요약!P11</f>
        <v>1106</v>
      </c>
      <c r="E148" s="873">
        <f>+요약!Q11</f>
        <v>1162</v>
      </c>
      <c r="F148" s="873">
        <f>+요약!R11</f>
        <v>2557</v>
      </c>
      <c r="G148" s="873">
        <f>+요약!S11</f>
        <v>2377</v>
      </c>
      <c r="H148" s="873">
        <f>+요약!T11</f>
        <v>2925</v>
      </c>
      <c r="I148" s="873">
        <f>+요약!U11</f>
        <v>881</v>
      </c>
      <c r="J148" s="874">
        <f>+요약!V11</f>
        <v>1272</v>
      </c>
    </row>
    <row r="149" spans="1:20" ht="22.5" customHeight="1" x14ac:dyDescent="0.25">
      <c r="A149" s="872">
        <f t="shared" si="42"/>
        <v>6</v>
      </c>
      <c r="B149" s="873">
        <f>+주차별보고v2!C23</f>
        <v>1402</v>
      </c>
      <c r="C149" s="873">
        <f>+요약!O12</f>
        <v>6560</v>
      </c>
      <c r="D149" s="873">
        <f>+요약!P12</f>
        <v>1025</v>
      </c>
      <c r="E149" s="873">
        <f>+요약!Q12</f>
        <v>1230</v>
      </c>
      <c r="F149" s="873">
        <f>+요약!R12</f>
        <v>2035</v>
      </c>
      <c r="G149" s="873">
        <f>+요약!S12</f>
        <v>1248</v>
      </c>
      <c r="H149" s="873">
        <f>+요약!T12</f>
        <v>4599</v>
      </c>
      <c r="I149" s="873">
        <f>+요약!U12</f>
        <v>748</v>
      </c>
      <c r="J149" s="874">
        <f>+요약!V12</f>
        <v>1409</v>
      </c>
    </row>
    <row r="150" spans="1:20" ht="22.5" customHeight="1" x14ac:dyDescent="0.25">
      <c r="A150" s="872">
        <f t="shared" si="42"/>
        <v>7</v>
      </c>
      <c r="B150" s="873">
        <f>+주차별보고v2!C24</f>
        <v>0</v>
      </c>
      <c r="C150" s="873">
        <f>+요약!O13</f>
        <v>5148</v>
      </c>
      <c r="D150" s="873">
        <f>+요약!P13</f>
        <v>661</v>
      </c>
      <c r="E150" s="873">
        <f>+요약!Q13</f>
        <v>1498</v>
      </c>
      <c r="F150" s="873">
        <f>+요약!R13</f>
        <v>1617</v>
      </c>
      <c r="G150" s="873">
        <f>+요약!S13</f>
        <v>976</v>
      </c>
      <c r="H150" s="873">
        <f>+요약!T13</f>
        <v>2327</v>
      </c>
      <c r="I150" s="873">
        <f>+요약!U13</f>
        <v>829</v>
      </c>
      <c r="J150" s="874">
        <f>+요약!V13</f>
        <v>1776</v>
      </c>
    </row>
    <row r="151" spans="1:20" ht="22.5" customHeight="1" x14ac:dyDescent="0.25">
      <c r="A151" s="872">
        <f t="shared" si="42"/>
        <v>8</v>
      </c>
      <c r="B151" s="873">
        <f>+주차별보고v2!C25</f>
        <v>0</v>
      </c>
      <c r="C151" s="873">
        <f>+요약!O14</f>
        <v>3005</v>
      </c>
      <c r="D151" s="873">
        <f>+요약!P14</f>
        <v>785</v>
      </c>
      <c r="E151" s="873">
        <f>+요약!Q14</f>
        <v>2045</v>
      </c>
      <c r="F151" s="873">
        <f>+요약!R14</f>
        <v>1247</v>
      </c>
      <c r="G151" s="873">
        <f>+요약!S14</f>
        <v>1266</v>
      </c>
      <c r="H151" s="873">
        <f>+요약!T14</f>
        <v>2548</v>
      </c>
      <c r="I151" s="873">
        <f>+요약!U14</f>
        <v>837</v>
      </c>
      <c r="J151" s="874">
        <f>+요약!V14</f>
        <v>1840</v>
      </c>
    </row>
    <row r="152" spans="1:20" ht="22.5" customHeight="1" x14ac:dyDescent="0.25">
      <c r="A152" s="872">
        <f t="shared" si="42"/>
        <v>9</v>
      </c>
      <c r="B152" s="873">
        <f>+주차별보고v2!C26</f>
        <v>0</v>
      </c>
      <c r="C152" s="873">
        <f>+요약!O15</f>
        <v>2201</v>
      </c>
      <c r="D152" s="873">
        <f>+요약!P15</f>
        <v>815</v>
      </c>
      <c r="E152" s="873">
        <f>+요약!Q15</f>
        <v>2005</v>
      </c>
      <c r="F152" s="873">
        <f>+요약!R15</f>
        <v>2015</v>
      </c>
      <c r="G152" s="873">
        <f>+요약!S15</f>
        <v>1185</v>
      </c>
      <c r="H152" s="873">
        <f>+요약!T15</f>
        <v>2430</v>
      </c>
      <c r="I152" s="873">
        <f>+요약!U15</f>
        <v>1167</v>
      </c>
      <c r="J152" s="874">
        <f>+요약!V15</f>
        <v>1918</v>
      </c>
      <c r="M152" s="364" t="s">
        <v>281</v>
      </c>
      <c r="N152" s="364" t="s">
        <v>282</v>
      </c>
      <c r="O152" s="364" t="s">
        <v>283</v>
      </c>
      <c r="P152" s="364" t="s">
        <v>284</v>
      </c>
      <c r="Q152" s="364" t="s">
        <v>288</v>
      </c>
      <c r="R152" s="364" t="s">
        <v>285</v>
      </c>
      <c r="S152" s="364" t="s">
        <v>286</v>
      </c>
      <c r="T152" s="364" t="s">
        <v>287</v>
      </c>
    </row>
    <row r="153" spans="1:20" ht="22.5" customHeight="1" x14ac:dyDescent="0.25">
      <c r="A153" s="872">
        <f t="shared" si="42"/>
        <v>10</v>
      </c>
      <c r="B153" s="873">
        <f>+주차별보고v2!C27</f>
        <v>0</v>
      </c>
      <c r="C153" s="873">
        <f>+요약!O16</f>
        <v>1566</v>
      </c>
      <c r="D153" s="873">
        <f>+요약!P16</f>
        <v>1129</v>
      </c>
      <c r="E153" s="873">
        <f>+요약!Q16</f>
        <v>1412</v>
      </c>
      <c r="F153" s="873">
        <f>+요약!R16</f>
        <v>1690</v>
      </c>
      <c r="G153" s="873">
        <f>+요약!S16</f>
        <v>1561</v>
      </c>
      <c r="H153" s="873">
        <f>+요약!T16</f>
        <v>2379</v>
      </c>
      <c r="I153" s="873">
        <f>+요약!U16</f>
        <v>1141</v>
      </c>
      <c r="J153" s="874">
        <f>+요약!V16</f>
        <v>1621</v>
      </c>
      <c r="M153" s="364">
        <v>20</v>
      </c>
      <c r="N153" s="364">
        <v>13</v>
      </c>
      <c r="O153" s="364">
        <v>15</v>
      </c>
      <c r="P153" s="364">
        <v>15</v>
      </c>
      <c r="Q153" s="364">
        <v>15</v>
      </c>
      <c r="R153" s="364">
        <v>14</v>
      </c>
      <c r="S153" s="364">
        <v>14</v>
      </c>
      <c r="T153" s="364">
        <v>14</v>
      </c>
    </row>
    <row r="154" spans="1:20" ht="22.5" customHeight="1" x14ac:dyDescent="0.25">
      <c r="A154" s="872">
        <f t="shared" si="42"/>
        <v>11</v>
      </c>
      <c r="B154" s="873">
        <f>+주차별보고v2!C28</f>
        <v>0</v>
      </c>
      <c r="C154" s="873">
        <f>+요약!O17</f>
        <v>1467</v>
      </c>
      <c r="D154" s="873">
        <f>+요약!P17</f>
        <v>1744</v>
      </c>
      <c r="E154" s="873">
        <f>+요약!Q17</f>
        <v>1113</v>
      </c>
      <c r="F154" s="873">
        <f>+요약!R17</f>
        <v>1593</v>
      </c>
      <c r="G154" s="873">
        <f>+요약!S17</f>
        <v>1742</v>
      </c>
      <c r="H154" s="873">
        <f>+요약!T17</f>
        <v>1625</v>
      </c>
      <c r="I154" s="873">
        <f>+요약!U17</f>
        <v>1655</v>
      </c>
      <c r="J154" s="874">
        <f>+요약!V17</f>
        <v>1962</v>
      </c>
      <c r="M154" s="810">
        <f>+M153-$L$162</f>
        <v>14</v>
      </c>
      <c r="N154" s="810">
        <f t="shared" ref="N154:T154" si="43">+N153-$L$162</f>
        <v>7</v>
      </c>
      <c r="O154" s="810">
        <f t="shared" si="43"/>
        <v>9</v>
      </c>
      <c r="P154" s="810">
        <f t="shared" si="43"/>
        <v>9</v>
      </c>
      <c r="Q154" s="810">
        <f t="shared" si="43"/>
        <v>9</v>
      </c>
      <c r="R154" s="810">
        <f t="shared" si="43"/>
        <v>8</v>
      </c>
      <c r="S154" s="810">
        <f t="shared" si="43"/>
        <v>8</v>
      </c>
      <c r="T154" s="810">
        <f t="shared" si="43"/>
        <v>8</v>
      </c>
    </row>
    <row r="155" spans="1:20" ht="22.5" customHeight="1" x14ac:dyDescent="0.25">
      <c r="A155" s="872">
        <f t="shared" si="42"/>
        <v>12</v>
      </c>
      <c r="B155" s="873">
        <f>+주차별보고v2!C29</f>
        <v>0</v>
      </c>
      <c r="C155" s="873">
        <f>+요약!O18</f>
        <v>1924</v>
      </c>
      <c r="D155" s="873">
        <f>+요약!P18</f>
        <v>2410</v>
      </c>
      <c r="E155" s="873">
        <f>+요약!Q18</f>
        <v>1483</v>
      </c>
      <c r="F155" s="873">
        <f>+요약!R18</f>
        <v>1920</v>
      </c>
      <c r="G155" s="873">
        <f>+요약!S18</f>
        <v>1556</v>
      </c>
      <c r="H155" s="873">
        <f>+요약!T18</f>
        <v>1938</v>
      </c>
      <c r="I155" s="873">
        <f>+요약!U18</f>
        <v>1748</v>
      </c>
      <c r="J155" s="874">
        <f>+요약!V18</f>
        <v>2453</v>
      </c>
    </row>
    <row r="156" spans="1:20" ht="22.5" customHeight="1" x14ac:dyDescent="0.25">
      <c r="A156" s="872">
        <f t="shared" si="42"/>
        <v>13</v>
      </c>
      <c r="B156" s="873">
        <f>+주차별보고v2!C30</f>
        <v>0</v>
      </c>
      <c r="C156" s="873">
        <f>+요약!O19</f>
        <v>1795</v>
      </c>
      <c r="D156" s="873">
        <f>+요약!P19</f>
        <v>1753</v>
      </c>
      <c r="E156" s="873">
        <f>+요약!Q19</f>
        <v>2722</v>
      </c>
      <c r="F156" s="873">
        <f>+요약!R19</f>
        <v>2218</v>
      </c>
      <c r="G156" s="873">
        <f>+요약!S19</f>
        <v>1535</v>
      </c>
      <c r="H156" s="873">
        <f>+요약!T19</f>
        <v>3138</v>
      </c>
      <c r="I156" s="873">
        <f>+요약!U19</f>
        <v>2669</v>
      </c>
      <c r="J156" s="874">
        <f>+요약!V19</f>
        <v>3403</v>
      </c>
    </row>
    <row r="157" spans="1:20" ht="22.5" customHeight="1" x14ac:dyDescent="0.25">
      <c r="A157" s="872">
        <f t="shared" si="42"/>
        <v>14</v>
      </c>
      <c r="B157" s="873">
        <f>+주차별보고v2!C31</f>
        <v>0</v>
      </c>
      <c r="C157" s="873">
        <f>+요약!O20</f>
        <v>2510</v>
      </c>
      <c r="D157" s="875">
        <f>+요약!P20</f>
        <v>0</v>
      </c>
      <c r="E157" s="873">
        <f>+요약!Q20</f>
        <v>3007</v>
      </c>
      <c r="F157" s="873">
        <f>+요약!R20</f>
        <v>3530</v>
      </c>
      <c r="G157" s="873">
        <f>+요약!S20</f>
        <v>1921</v>
      </c>
      <c r="H157" s="873">
        <f>+요약!T20</f>
        <v>1936</v>
      </c>
      <c r="I157" s="873">
        <f>+요약!U20</f>
        <v>2474</v>
      </c>
      <c r="J157" s="874">
        <f>+요약!V20</f>
        <v>4035</v>
      </c>
    </row>
    <row r="158" spans="1:20" ht="22.5" customHeight="1" x14ac:dyDescent="0.25">
      <c r="A158" s="872">
        <f t="shared" si="42"/>
        <v>15</v>
      </c>
      <c r="B158" s="873">
        <f>+주차별보고v2!C32</f>
        <v>0</v>
      </c>
      <c r="C158" s="873">
        <f>+요약!O21</f>
        <v>4033</v>
      </c>
      <c r="D158" s="875">
        <f>+요약!P21</f>
        <v>0</v>
      </c>
      <c r="E158" s="873">
        <f>+요약!Q21</f>
        <v>2991</v>
      </c>
      <c r="F158" s="873">
        <f>+요약!R21</f>
        <v>1132</v>
      </c>
      <c r="G158" s="873">
        <f>+요약!S21</f>
        <v>1893</v>
      </c>
      <c r="H158" s="875">
        <f>+요약!T21</f>
        <v>0</v>
      </c>
      <c r="I158" s="875">
        <f>+요약!U21</f>
        <v>0</v>
      </c>
      <c r="J158" s="876">
        <f>+요약!V21</f>
        <v>0</v>
      </c>
    </row>
    <row r="159" spans="1:20" ht="22.5" customHeight="1" x14ac:dyDescent="0.25">
      <c r="A159" s="872">
        <f t="shared" si="42"/>
        <v>16</v>
      </c>
      <c r="B159" s="873">
        <f>+주차별보고v2!C33</f>
        <v>0</v>
      </c>
      <c r="C159" s="873">
        <f>+요약!O22</f>
        <v>6178</v>
      </c>
      <c r="D159" s="875">
        <f>+요약!P22</f>
        <v>0</v>
      </c>
      <c r="E159" s="875">
        <f>+요약!Q22</f>
        <v>0</v>
      </c>
      <c r="F159" s="875">
        <f>+요약!R22</f>
        <v>0</v>
      </c>
      <c r="G159" s="875">
        <f>+요약!S22</f>
        <v>0</v>
      </c>
      <c r="H159" s="875">
        <f>+요약!T22</f>
        <v>0</v>
      </c>
      <c r="I159" s="875">
        <f>+요약!U22</f>
        <v>0</v>
      </c>
      <c r="J159" s="876">
        <f>+요약!V22</f>
        <v>0</v>
      </c>
    </row>
    <row r="160" spans="1:20" ht="22.5" customHeight="1" x14ac:dyDescent="0.25">
      <c r="A160" s="872">
        <f t="shared" si="42"/>
        <v>17</v>
      </c>
      <c r="B160" s="873">
        <f>+주차별보고v2!C34</f>
        <v>0</v>
      </c>
      <c r="C160" s="873">
        <f>+요약!O23</f>
        <v>8602</v>
      </c>
      <c r="D160" s="875">
        <f>+요약!P23</f>
        <v>0</v>
      </c>
      <c r="E160" s="875">
        <f>+요약!Q23</f>
        <v>0</v>
      </c>
      <c r="F160" s="875">
        <f>+요약!R23</f>
        <v>0</v>
      </c>
      <c r="G160" s="875">
        <f>+요약!S23</f>
        <v>0</v>
      </c>
      <c r="H160" s="875">
        <f>+요약!T23</f>
        <v>0</v>
      </c>
      <c r="I160" s="875">
        <f>+요약!U23</f>
        <v>0</v>
      </c>
      <c r="J160" s="876">
        <f>+요약!V23</f>
        <v>0</v>
      </c>
    </row>
    <row r="161" spans="1:20" ht="22.5" customHeight="1" x14ac:dyDescent="0.25">
      <c r="A161" s="872">
        <f t="shared" si="42"/>
        <v>18</v>
      </c>
      <c r="B161" s="873">
        <f>+주차별보고v2!C35</f>
        <v>0</v>
      </c>
      <c r="C161" s="873">
        <f>+요약!O24</f>
        <v>9607</v>
      </c>
      <c r="D161" s="875">
        <f>+요약!P24</f>
        <v>0</v>
      </c>
      <c r="E161" s="875">
        <f>+요약!Q24</f>
        <v>0</v>
      </c>
      <c r="F161" s="875">
        <f>+요약!R24</f>
        <v>0</v>
      </c>
      <c r="G161" s="875">
        <f>+요약!S24</f>
        <v>0</v>
      </c>
      <c r="H161" s="875">
        <f>+요약!T24</f>
        <v>0</v>
      </c>
      <c r="I161" s="875">
        <f>+요약!U24</f>
        <v>0</v>
      </c>
      <c r="J161" s="876">
        <f>+요약!V24</f>
        <v>0</v>
      </c>
      <c r="M161" s="364" t="str">
        <f>+M152</f>
        <v>바스키아</v>
      </c>
      <c r="N161" s="364" t="str">
        <f t="shared" ref="N161:T161" si="44">+N152</f>
        <v>김정기</v>
      </c>
      <c r="O161" s="364" t="str">
        <f t="shared" si="44"/>
        <v>드리머</v>
      </c>
      <c r="P161" s="364" t="str">
        <f t="shared" si="44"/>
        <v>알렉스</v>
      </c>
      <c r="Q161" s="364" t="str">
        <f t="shared" si="44"/>
        <v>페어리</v>
      </c>
      <c r="R161" s="364" t="str">
        <f t="shared" si="44"/>
        <v>마르지엘라</v>
      </c>
      <c r="S161" s="364" t="str">
        <f t="shared" si="44"/>
        <v>제이알</v>
      </c>
      <c r="T161" s="364" t="str">
        <f t="shared" si="44"/>
        <v>오스틴리</v>
      </c>
    </row>
    <row r="162" spans="1:20" ht="22.5" customHeight="1" x14ac:dyDescent="0.25">
      <c r="A162" s="872">
        <f t="shared" si="42"/>
        <v>19</v>
      </c>
      <c r="B162" s="873">
        <f>+주차별보고v2!C36</f>
        <v>0</v>
      </c>
      <c r="C162" s="873">
        <f>+요약!O25</f>
        <v>6419</v>
      </c>
      <c r="D162" s="875">
        <f>+요약!P25</f>
        <v>0</v>
      </c>
      <c r="E162" s="875">
        <f>+요약!Q25</f>
        <v>0</v>
      </c>
      <c r="F162" s="875">
        <f>+요약!R25</f>
        <v>0</v>
      </c>
      <c r="G162" s="875">
        <f>+요약!S25</f>
        <v>0</v>
      </c>
      <c r="H162" s="875">
        <f>+요약!T25</f>
        <v>0</v>
      </c>
      <c r="I162" s="875">
        <f>+요약!U25</f>
        <v>0</v>
      </c>
      <c r="J162" s="876">
        <f>+요약!V25</f>
        <v>0</v>
      </c>
      <c r="L162" s="195">
        <f>+VALUE(INT(일자별요약v2!$A$164))</f>
        <v>6</v>
      </c>
      <c r="M162" s="811">
        <f ca="1">+SUM(OFFSET($C$144,$L$162,0,$M$154,1))</f>
        <v>61268</v>
      </c>
      <c r="N162" s="522">
        <f ca="1">+SUM(OFFSET($D$144,$L$162,0,$N$154,1))</f>
        <v>9297</v>
      </c>
      <c r="O162" s="522">
        <f ca="1">+SUM(OFFSET($E$144,$L$162,0,$O$154,1))</f>
        <v>18276</v>
      </c>
      <c r="P162" s="522">
        <f ca="1">+SUM(OFFSET($F$144,$L$162,0,$P$154,1))</f>
        <v>16962</v>
      </c>
      <c r="Q162" s="522">
        <f ca="1">+SUM(OFFSET($G$144,$L$162,0,$Q$154,1))</f>
        <v>13635</v>
      </c>
      <c r="R162" s="522">
        <f ca="1">+SUM(OFFSET($H$144,$L$162,0,$R$154,1))</f>
        <v>18321</v>
      </c>
      <c r="S162" s="522">
        <f ca="1">+SUM(OFFSET($I$144,$L$162,0,$S$154,1))</f>
        <v>12520</v>
      </c>
      <c r="T162" s="522">
        <f ca="1">+SUM(OFFSET($J$144,$L$162,0,$T$154,1))</f>
        <v>19008</v>
      </c>
    </row>
    <row r="163" spans="1:20" ht="22.5" customHeight="1" x14ac:dyDescent="0.25">
      <c r="A163" s="868">
        <f t="shared" si="42"/>
        <v>20</v>
      </c>
      <c r="B163" s="869">
        <f>+주차별보고v2!C37</f>
        <v>0</v>
      </c>
      <c r="C163" s="869">
        <f>+요약!O26</f>
        <v>6813</v>
      </c>
      <c r="D163" s="870">
        <f>+요약!P26</f>
        <v>0</v>
      </c>
      <c r="E163" s="870">
        <f>+요약!Q26</f>
        <v>0</v>
      </c>
      <c r="F163" s="870">
        <f>+요약!R26</f>
        <v>0</v>
      </c>
      <c r="G163" s="870">
        <f>+요약!S26</f>
        <v>0</v>
      </c>
      <c r="H163" s="870">
        <f>+요약!T26</f>
        <v>0</v>
      </c>
      <c r="I163" s="870">
        <f>+요약!U26</f>
        <v>0</v>
      </c>
      <c r="J163" s="871">
        <f>+요약!V26</f>
        <v>0</v>
      </c>
    </row>
    <row r="164" spans="1:20" ht="206.25" customHeight="1" x14ac:dyDescent="0.25">
      <c r="A164" s="813">
        <f>+N83</f>
        <v>6</v>
      </c>
      <c r="B164" s="805"/>
      <c r="C164" s="806"/>
      <c r="D164" s="806"/>
      <c r="E164" s="806"/>
      <c r="F164" s="806"/>
      <c r="G164" s="806"/>
      <c r="H164" s="806"/>
      <c r="I164" s="806"/>
      <c r="J164" s="807"/>
      <c r="L164" s="195">
        <f ca="1">+SUM(제이알최근주)</f>
        <v>5422</v>
      </c>
    </row>
    <row r="165" spans="1:20" ht="246.75" customHeight="1" x14ac:dyDescent="0.25">
      <c r="A165" s="814" t="str">
        <f>+"미경과주"&amp;CHAR(10)&amp;TEXT(A164+1,"(#,###주이후)")</f>
        <v>미경과주
(7주이후)</v>
      </c>
      <c r="B165" s="808"/>
      <c r="C165" s="806"/>
      <c r="D165" s="809"/>
      <c r="E165" s="806"/>
      <c r="F165" s="806"/>
      <c r="G165" s="806"/>
      <c r="H165" s="806"/>
      <c r="I165" s="806"/>
      <c r="J165" s="807"/>
      <c r="L165" s="195" t="e">
        <f ca="1">+SUM(잔여바스키아)</f>
        <v>#REF!</v>
      </c>
      <c r="N165" s="815" t="str">
        <f>+"미경과주"&amp;CHAR(10)&amp;TEXT(A165,"(#,###주이후)")</f>
        <v>미경과주
미경과주
(7주이후)</v>
      </c>
    </row>
    <row r="166" spans="1:20" ht="409.6" customHeight="1" x14ac:dyDescent="0.25">
      <c r="B166" s="802" t="s">
        <v>275</v>
      </c>
      <c r="C166" s="803"/>
      <c r="D166" s="803"/>
      <c r="E166" s="803"/>
      <c r="F166" s="803"/>
      <c r="G166" s="803"/>
      <c r="H166" s="803"/>
      <c r="I166" s="803"/>
      <c r="J166" s="804"/>
    </row>
    <row r="167" spans="1:20" ht="36.75" customHeight="1" x14ac:dyDescent="0.25">
      <c r="B167" s="802" t="s">
        <v>278</v>
      </c>
      <c r="C167" s="537">
        <f>+INDEX(C$144:C$163,ROUNDUP(COUNTIF(C$144:C$163,"&gt;0")/2,0))/AVERAGE(C$144:C$163)</f>
        <v>0.3157512702637309</v>
      </c>
      <c r="D167" s="536">
        <f t="shared" ref="D167:J167" si="45">+INDEX(D$144:D$163,ROUNDUP(COUNTIF(D$144:D$163,"&gt;0")/2,0))/AVERAGE(D$144:D$163)</f>
        <v>0.87358752395427219</v>
      </c>
      <c r="E167" s="536">
        <f t="shared" si="45"/>
        <v>1.6609137055837564</v>
      </c>
      <c r="F167" s="536">
        <f t="shared" si="45"/>
        <v>0.8353150015071843</v>
      </c>
      <c r="G167" s="536">
        <f t="shared" si="45"/>
        <v>1.0050809780882821</v>
      </c>
      <c r="H167" s="536">
        <f t="shared" si="45"/>
        <v>1.0939005758608533</v>
      </c>
      <c r="I167" s="536">
        <f t="shared" si="45"/>
        <v>0.92408873035336081</v>
      </c>
      <c r="J167" s="543">
        <f t="shared" si="45"/>
        <v>1.2418711978183345</v>
      </c>
    </row>
    <row r="168" spans="1:20" ht="36.75" customHeight="1" x14ac:dyDescent="0.25">
      <c r="B168" s="802" t="s">
        <v>277</v>
      </c>
      <c r="C168" s="537">
        <f>+INDEX(C$144:C$163,ROUNDUP(COUNTIF(C$144:C$163,"&gt;0")/2,0))/C163</f>
        <v>0.22985468956406868</v>
      </c>
      <c r="D168" s="536">
        <f>+INDEX(D$144:D$163,ROUNDUP(COUNTIF(D$144:D$163,"&gt;0")/2,0))/D156</f>
        <v>0.37706788362806615</v>
      </c>
      <c r="E168" s="536">
        <f>+INDEX(E$144:E$163,ROUNDUP(COUNTIF(E$144:E$163,"&gt;0")/2,0))/E158</f>
        <v>0.68371782012704785</v>
      </c>
      <c r="F168" s="536">
        <f>+INDEX(F$144:F$163,ROUNDUP(COUNTIF(F$144:F$163,"&gt;0")/2,0))/F157</f>
        <v>0.35325779036827193</v>
      </c>
      <c r="G168" s="536">
        <f>+INDEX(G$144:G$163,ROUNDUP(COUNTIF(G$144:G$163,"&gt;0")/2,0))/G158</f>
        <v>0.66877971473851028</v>
      </c>
      <c r="H168" s="536">
        <f>+INDEX(H$144:H$163,ROUNDUP(COUNTIF(H$144:H$163,"&gt;0")/2,0))/H157</f>
        <v>1.2019628099173554</v>
      </c>
      <c r="I168" s="536">
        <f t="shared" ref="I168:J168" si="46">+INDEX(I$144:I$163,ROUNDUP(COUNTIF(I$144:I$163,"&gt;0")/2,0))/I157</f>
        <v>0.33508488278092158</v>
      </c>
      <c r="J168" s="543">
        <f t="shared" si="46"/>
        <v>0.44014869888475838</v>
      </c>
    </row>
    <row r="169" spans="1:20" ht="36.75" customHeight="1" x14ac:dyDescent="0.25">
      <c r="B169" s="802" t="s">
        <v>279</v>
      </c>
      <c r="C169" s="536">
        <f>+C163/C144</f>
        <v>0.9073112265281662</v>
      </c>
      <c r="D169" s="536">
        <f>+D156/D144</f>
        <v>2.0745562130177513</v>
      </c>
      <c r="E169" s="536">
        <f>+E158/E144</f>
        <v>3.6925925925925926</v>
      </c>
      <c r="F169" s="536">
        <f>+F157/F144</f>
        <v>1.8385416666666667</v>
      </c>
      <c r="G169" s="536">
        <f>+G158/G144</f>
        <v>0.9057416267942584</v>
      </c>
      <c r="H169" s="536">
        <f>+H157/H144</f>
        <v>0.33465859982713914</v>
      </c>
      <c r="I169" s="536">
        <f t="shared" ref="I169:J169" si="47">+I157/I144</f>
        <v>2.4989898989898989</v>
      </c>
      <c r="J169" s="543">
        <f t="shared" si="47"/>
        <v>2.2454090150250416</v>
      </c>
    </row>
    <row r="170" spans="1:20" ht="36.75" customHeight="1" x14ac:dyDescent="0.25">
      <c r="B170" s="802" t="s">
        <v>280</v>
      </c>
      <c r="C170" s="536">
        <f>+SUM(C162:C163)/SUM(C144:C163)</f>
        <v>0.13339785466569884</v>
      </c>
      <c r="D170" s="536">
        <f>+SUM(D155:D156)/SUM(D144:D163)</f>
        <v>0.27509416506971518</v>
      </c>
      <c r="E170" s="536">
        <f>+SUM(E157:E158)/SUM(E144:E163)</f>
        <v>0.24357360406091372</v>
      </c>
      <c r="F170" s="536">
        <f>+SUM(F156:F157)/SUM(F144:F163)</f>
        <v>0.19251766754864855</v>
      </c>
      <c r="G170" s="536">
        <f>+SUM(G157:G158)/SUM(G144:G163)</f>
        <v>0.15139726897427755</v>
      </c>
      <c r="H170" s="536">
        <f>+SUM(H156:H157)/SUM(H144:H163)</f>
        <v>0.11926195792690093</v>
      </c>
      <c r="I170" s="536">
        <f>+SUM(I156:I157)/SUM(I144:I163)</f>
        <v>0.28664585887860883</v>
      </c>
      <c r="J170" s="543">
        <f>+SUM(J156:J157)/SUM(J144:J163)</f>
        <v>0.26005174463324243</v>
      </c>
    </row>
    <row r="171" spans="1:20" ht="36.75" customHeight="1" x14ac:dyDescent="0.25">
      <c r="B171" s="539" t="s">
        <v>192</v>
      </c>
      <c r="C171" s="628" t="s">
        <v>196</v>
      </c>
      <c r="D171" s="628" t="s">
        <v>208</v>
      </c>
      <c r="E171" s="628" t="s">
        <v>207</v>
      </c>
      <c r="F171" s="628" t="s">
        <v>207</v>
      </c>
      <c r="G171" s="628" t="s">
        <v>196</v>
      </c>
      <c r="H171" s="628" t="s">
        <v>194</v>
      </c>
      <c r="I171" s="628" t="s">
        <v>208</v>
      </c>
      <c r="J171" s="629" t="s">
        <v>208</v>
      </c>
    </row>
    <row r="172" spans="1:20" ht="29.25" customHeight="1" x14ac:dyDescent="0.25">
      <c r="A172" s="315"/>
      <c r="B172" s="533"/>
      <c r="C172" s="314"/>
      <c r="D172" s="314"/>
      <c r="E172" s="314"/>
      <c r="F172" s="314"/>
      <c r="G172" s="314"/>
      <c r="H172" s="314"/>
      <c r="I172" s="314"/>
      <c r="J172" s="314"/>
      <c r="K172"/>
    </row>
    <row r="173" spans="1:20" ht="29.25" customHeight="1" thickBot="1" x14ac:dyDescent="0.3">
      <c r="A173" s="594" t="s">
        <v>230</v>
      </c>
      <c r="B173" s="533"/>
      <c r="C173" s="314"/>
      <c r="D173" s="314"/>
      <c r="E173" s="314"/>
      <c r="F173" s="314"/>
      <c r="G173" s="314"/>
      <c r="H173" s="631" t="s">
        <v>241</v>
      </c>
      <c r="I173" s="314"/>
      <c r="J173" s="534" t="str">
        <f>+$A$3</f>
        <v>7주 3일차  -  총 13주 2일</v>
      </c>
      <c r="K173"/>
    </row>
    <row r="174" spans="1:20" ht="29.25" customHeight="1" x14ac:dyDescent="0.25">
      <c r="A174" s="275"/>
      <c r="B174" s="968" t="s">
        <v>198</v>
      </c>
      <c r="C174" s="966" t="s">
        <v>199</v>
      </c>
      <c r="D174" s="542" t="s">
        <v>204</v>
      </c>
      <c r="E174" s="540"/>
      <c r="F174" s="540"/>
      <c r="G174" s="540"/>
      <c r="H174" s="540"/>
      <c r="I174" s="970" t="s">
        <v>210</v>
      </c>
      <c r="J174" s="968" t="s">
        <v>209</v>
      </c>
      <c r="K174"/>
    </row>
    <row r="175" spans="1:20" ht="29.25" customHeight="1" x14ac:dyDescent="0.25">
      <c r="A175" s="315"/>
      <c r="B175" s="969"/>
      <c r="C175" s="967"/>
      <c r="D175" s="541" t="s">
        <v>196</v>
      </c>
      <c r="E175" s="541" t="s">
        <v>194</v>
      </c>
      <c r="F175" s="541" t="s">
        <v>207</v>
      </c>
      <c r="G175" s="541" t="s">
        <v>208</v>
      </c>
      <c r="H175" s="542" t="s">
        <v>205</v>
      </c>
      <c r="I175" s="971"/>
      <c r="J175" s="969"/>
      <c r="K175"/>
    </row>
    <row r="176" spans="1:20" ht="30.75" customHeight="1" x14ac:dyDescent="0.25">
      <c r="A176" s="315"/>
      <c r="B176" s="533" t="s">
        <v>203</v>
      </c>
      <c r="C176" s="615"/>
      <c r="D176" s="546">
        <f>+SUMPRODUCT(($C$144:$J$163)*($C$171:$J$171=D$175))</f>
        <v>124384</v>
      </c>
      <c r="E176" s="546">
        <f>+SUMPRODUCT(($C$144:$J$163)*($C$171:$J$171=E$175))</f>
        <v>42545</v>
      </c>
      <c r="F176" s="546">
        <f>+SUMPRODUCT(($C$144:$J$163)*($C$171:$J$171=F$175))</f>
        <v>54482</v>
      </c>
      <c r="G176" s="546">
        <f>+SUMPRODUCT(($C$144:$J$163)*($C$171:$J$171=G$175))</f>
        <v>61677</v>
      </c>
      <c r="H176" s="547">
        <f>+SUM(D176:G176)</f>
        <v>283088</v>
      </c>
      <c r="I176" s="568"/>
      <c r="J176" s="538"/>
      <c r="K176"/>
    </row>
    <row r="177" spans="1:17" ht="30.75" customHeight="1" x14ac:dyDescent="0.25">
      <c r="A177" s="315"/>
      <c r="B177" s="533" t="s">
        <v>206</v>
      </c>
      <c r="C177" s="615"/>
      <c r="D177" s="555">
        <f>COUNTIF($C$171:$J$171,D$175)</f>
        <v>2</v>
      </c>
      <c r="E177" s="555">
        <f>COUNTIF($C$171:$J$171,E$175)</f>
        <v>1</v>
      </c>
      <c r="F177" s="555">
        <f>COUNTIF($C$171:$J$171,F$175)</f>
        <v>2</v>
      </c>
      <c r="G177" s="555">
        <f>COUNTIF($C$171:$J$171,G$175)</f>
        <v>3</v>
      </c>
      <c r="H177" s="556">
        <f>+SUM(D177:G177)</f>
        <v>8</v>
      </c>
      <c r="I177" s="569"/>
      <c r="J177" s="533"/>
      <c r="K177"/>
    </row>
    <row r="178" spans="1:17" ht="30.75" customHeight="1" x14ac:dyDescent="0.25">
      <c r="A178" s="315"/>
      <c r="B178" s="608" t="s">
        <v>195</v>
      </c>
      <c r="C178" s="616"/>
      <c r="D178" s="553">
        <f>+SUMPRODUCT(($C$144:$J$163)*($C$171:$J$171=D$175))/COUNTIF($C$171:$J$171,D$175)</f>
        <v>62192</v>
      </c>
      <c r="E178" s="553">
        <f>+SUMPRODUCT(($C$144:$J$163)*($C$171:$J$171=E$175))/COUNTIF($C$171:$J$171,E$175)</f>
        <v>42545</v>
      </c>
      <c r="F178" s="553">
        <f>+SUMPRODUCT(($C$144:$J$163)*($C$171:$J$171=F$175))/COUNTIF($C$171:$J$171,F$175)</f>
        <v>27241</v>
      </c>
      <c r="G178" s="553">
        <f>+SUMPRODUCT(($C$144:$J$163)*($C$171:$J$171=G$175))/COUNTIF($C$171:$J$171,G$175)</f>
        <v>20559</v>
      </c>
      <c r="H178" s="554">
        <v>0</v>
      </c>
      <c r="I178" s="569"/>
      <c r="J178" s="533"/>
      <c r="K178"/>
    </row>
    <row r="179" spans="1:17" ht="30.75" customHeight="1" x14ac:dyDescent="0.25">
      <c r="A179" s="315"/>
      <c r="B179" s="609">
        <v>1</v>
      </c>
      <c r="C179" s="617">
        <f>+SUMIF(요약!$B$11:$B$146,$B179,요약!$L$11:$L$146)</f>
        <v>2263</v>
      </c>
      <c r="D179" s="603">
        <f t="shared" ref="D179:G184" si="48">+SUMPRODUCT(($C$144:$J$163)*($A$144:$A$163=$B179)*($C$171:$J$171=D$175))/COUNTIF($C$171:$J$171,D$175)</f>
        <v>4799.5</v>
      </c>
      <c r="E179" s="603">
        <f t="shared" si="48"/>
        <v>5785</v>
      </c>
      <c r="F179" s="603">
        <f t="shared" si="48"/>
        <v>1365</v>
      </c>
      <c r="G179" s="603">
        <f t="shared" si="48"/>
        <v>1210.6666666666667</v>
      </c>
      <c r="H179" s="604">
        <f t="shared" ref="H179:H181" si="49">+SUM(D179:G179)</f>
        <v>13160.166666666666</v>
      </c>
      <c r="I179" s="569"/>
      <c r="J179" s="314"/>
      <c r="K179"/>
    </row>
    <row r="180" spans="1:17" ht="30.75" customHeight="1" x14ac:dyDescent="0.25">
      <c r="A180" s="315"/>
      <c r="B180" s="610">
        <f>+B179+1</f>
        <v>2</v>
      </c>
      <c r="C180" s="618">
        <f>+SUMIF(요약!$B$11:$B$146,$B180,요약!$L$11:$L$146)</f>
        <v>1108</v>
      </c>
      <c r="D180" s="605">
        <f t="shared" si="48"/>
        <v>3992</v>
      </c>
      <c r="E180" s="605">
        <f t="shared" si="48"/>
        <v>2559</v>
      </c>
      <c r="F180" s="605">
        <f t="shared" si="48"/>
        <v>1585.5</v>
      </c>
      <c r="G180" s="605">
        <f t="shared" si="48"/>
        <v>1218.3333333333333</v>
      </c>
      <c r="H180" s="556">
        <f t="shared" si="49"/>
        <v>9354.8333333333339</v>
      </c>
      <c r="I180" s="569"/>
      <c r="J180" s="314"/>
      <c r="K180"/>
      <c r="P180" s="36" t="s">
        <v>213</v>
      </c>
      <c r="Q180" s="36">
        <v>4</v>
      </c>
    </row>
    <row r="181" spans="1:17" ht="30.75" customHeight="1" x14ac:dyDescent="0.25">
      <c r="A181" s="315"/>
      <c r="B181" s="610">
        <f>+B180+1</f>
        <v>3</v>
      </c>
      <c r="C181" s="618">
        <f>+SUMIF(요약!$B$11:$B$146,$B181,요약!$L$11:$L$146)</f>
        <v>1283</v>
      </c>
      <c r="D181" s="605">
        <f t="shared" si="48"/>
        <v>4025</v>
      </c>
      <c r="E181" s="605">
        <f t="shared" si="48"/>
        <v>4095</v>
      </c>
      <c r="F181" s="605">
        <f t="shared" si="48"/>
        <v>1429</v>
      </c>
      <c r="G181" s="605">
        <f t="shared" si="48"/>
        <v>1206</v>
      </c>
      <c r="H181" s="556">
        <f t="shared" si="49"/>
        <v>10755</v>
      </c>
      <c r="I181" s="569"/>
      <c r="J181" s="314"/>
      <c r="K181"/>
      <c r="N181" s="36">
        <v>1000</v>
      </c>
      <c r="P181" s="36" t="s">
        <v>195</v>
      </c>
      <c r="Q181" s="36">
        <f>+AVERAGE(N181:N193)</f>
        <v>700</v>
      </c>
    </row>
    <row r="182" spans="1:17" ht="30.75" customHeight="1" x14ac:dyDescent="0.25">
      <c r="A182" s="315"/>
      <c r="B182" s="610">
        <f>+B181+1</f>
        <v>4</v>
      </c>
      <c r="C182" s="618">
        <f>+SUMIF(요약!$B$11:$B$146,$B182,요약!$L$11:$L$146)</f>
        <v>1305</v>
      </c>
      <c r="D182" s="605">
        <f t="shared" si="48"/>
        <v>3808.5</v>
      </c>
      <c r="E182" s="605">
        <f t="shared" si="48"/>
        <v>4261</v>
      </c>
      <c r="F182" s="605">
        <f t="shared" si="48"/>
        <v>1750.5</v>
      </c>
      <c r="G182" s="605">
        <f t="shared" si="48"/>
        <v>1168.6666666666667</v>
      </c>
      <c r="H182" s="556">
        <f t="shared" ref="H182" si="50">+SUM(D182:G182)</f>
        <v>10988.666666666666</v>
      </c>
      <c r="I182" s="569"/>
      <c r="J182" s="314"/>
      <c r="K182"/>
    </row>
    <row r="183" spans="1:17" ht="30.75" customHeight="1" x14ac:dyDescent="0.25">
      <c r="A183" s="315"/>
      <c r="B183" s="610">
        <f>+B182+1</f>
        <v>5</v>
      </c>
      <c r="C183" s="618">
        <f>+SUMIF(요약!$B$11:$B$146,$B183,요약!$L$11:$L$146)</f>
        <v>1227</v>
      </c>
      <c r="D183" s="605">
        <f t="shared" si="48"/>
        <v>4211.5</v>
      </c>
      <c r="E183" s="605">
        <f t="shared" si="48"/>
        <v>2925</v>
      </c>
      <c r="F183" s="605">
        <f t="shared" si="48"/>
        <v>1859.5</v>
      </c>
      <c r="G183" s="605">
        <f t="shared" si="48"/>
        <v>1086.3333333333333</v>
      </c>
      <c r="H183" s="556">
        <f t="shared" ref="H183" si="51">+SUM(D183:G183)</f>
        <v>10082.333333333334</v>
      </c>
      <c r="I183" s="569"/>
      <c r="J183" s="314"/>
      <c r="K183"/>
    </row>
    <row r="184" spans="1:17" ht="30.75" customHeight="1" x14ac:dyDescent="0.25">
      <c r="A184" s="315"/>
      <c r="B184" s="611">
        <f>+B183+1</f>
        <v>6</v>
      </c>
      <c r="C184" s="619">
        <f>+SUMIF(요약!$B$11:$B$146,$B184,요약!$L$11:$L$146)</f>
        <v>1402</v>
      </c>
      <c r="D184" s="606">
        <f t="shared" si="48"/>
        <v>3904</v>
      </c>
      <c r="E184" s="606">
        <f t="shared" si="48"/>
        <v>4599</v>
      </c>
      <c r="F184" s="606">
        <f t="shared" si="48"/>
        <v>1632.5</v>
      </c>
      <c r="G184" s="606">
        <f t="shared" si="48"/>
        <v>1060.6666666666667</v>
      </c>
      <c r="H184" s="607">
        <f t="shared" ref="H184" si="52">+SUM(D184:G184)</f>
        <v>11196.166666666666</v>
      </c>
      <c r="I184" s="569"/>
      <c r="J184" s="314"/>
      <c r="K184"/>
    </row>
    <row r="185" spans="1:17" ht="30.75" customHeight="1" x14ac:dyDescent="0.25">
      <c r="A185" s="315"/>
      <c r="B185" s="612" t="s">
        <v>231</v>
      </c>
      <c r="C185" s="621">
        <f>+SLOPE(C179:C184,$B$179:$B$184)</f>
        <v>-112.17142857142858</v>
      </c>
      <c r="D185" s="596">
        <f t="shared" ref="D185:G185" si="53">+SLOPE(D179:D184,$B$179:$B$184)</f>
        <v>-115.3</v>
      </c>
      <c r="E185" s="597">
        <f t="shared" si="53"/>
        <v>-133.31428571428572</v>
      </c>
      <c r="F185" s="597">
        <f t="shared" si="53"/>
        <v>70.885714285714286</v>
      </c>
      <c r="G185" s="597">
        <f t="shared" si="53"/>
        <v>-33.80952380952381</v>
      </c>
      <c r="H185" s="598">
        <f t="shared" ref="H185" si="54">+SLOPE(H179:H183,$B$179:$B$183)</f>
        <v>-452.18333333333322</v>
      </c>
      <c r="I185" s="570" t="s">
        <v>196</v>
      </c>
      <c r="J185" s="314"/>
      <c r="K185"/>
    </row>
    <row r="186" spans="1:17" ht="30.75" customHeight="1" x14ac:dyDescent="0.25">
      <c r="A186" s="315"/>
      <c r="B186" s="612" t="s">
        <v>232</v>
      </c>
      <c r="C186" s="622">
        <f>+INTERCEPT(C179:C184,$B$179:$B$184)</f>
        <v>1823.9333333333334</v>
      </c>
      <c r="D186" s="599">
        <f t="shared" ref="D186:G186" si="55">+INTERCEPT(D179:D184,$B$179:$B$184)</f>
        <v>4526.9666666666672</v>
      </c>
      <c r="E186" s="599">
        <f t="shared" si="55"/>
        <v>4503.9333333333334</v>
      </c>
      <c r="F186" s="600">
        <f t="shared" si="55"/>
        <v>1355.5666666666668</v>
      </c>
      <c r="G186" s="599">
        <f t="shared" si="55"/>
        <v>1276.7777777777778</v>
      </c>
      <c r="H186" s="549"/>
      <c r="I186" s="570" t="s">
        <v>235</v>
      </c>
      <c r="J186" s="314"/>
      <c r="K186"/>
    </row>
    <row r="187" spans="1:17" ht="30.75" customHeight="1" x14ac:dyDescent="0.25">
      <c r="A187" s="315"/>
      <c r="B187" s="612" t="s">
        <v>233</v>
      </c>
      <c r="C187" s="622">
        <f>+RSQ(C179:C184,$B$179:$B$184)</f>
        <v>0.25113502858046588</v>
      </c>
      <c r="D187" s="599">
        <f t="shared" ref="D187:G187" si="56">+RSQ(D179:D184,$B$179:$B$184)</f>
        <v>0.36401095439019554</v>
      </c>
      <c r="E187" s="599">
        <f t="shared" si="56"/>
        <v>4.5431795958246146E-2</v>
      </c>
      <c r="F187" s="600">
        <f t="shared" si="56"/>
        <v>0.50064085862801833</v>
      </c>
      <c r="G187" s="599">
        <f t="shared" si="56"/>
        <v>0.85339813057109914</v>
      </c>
      <c r="H187" s="549"/>
      <c r="I187" s="570" t="s">
        <v>207</v>
      </c>
      <c r="J187" s="314"/>
      <c r="K187"/>
    </row>
    <row r="188" spans="1:17" ht="30.75" customHeight="1" x14ac:dyDescent="0.25">
      <c r="A188" s="315"/>
      <c r="B188" s="613" t="s">
        <v>200</v>
      </c>
      <c r="C188" s="625">
        <f t="shared" ref="C188:G192" si="57">+C180/C$179</f>
        <v>0.48961555457357492</v>
      </c>
      <c r="D188" s="592">
        <f t="shared" si="57"/>
        <v>0.83175330763621214</v>
      </c>
      <c r="E188" s="588">
        <f t="shared" si="57"/>
        <v>0.44235090751944683</v>
      </c>
      <c r="F188" s="592">
        <f t="shared" si="57"/>
        <v>1.1615384615384616</v>
      </c>
      <c r="G188" s="592">
        <f t="shared" si="57"/>
        <v>1.0063325991189427</v>
      </c>
      <c r="H188" s="549"/>
      <c r="I188" s="570" t="s">
        <v>194</v>
      </c>
      <c r="J188" s="314"/>
      <c r="K188"/>
      <c r="N188" s="36">
        <f>+N181-200</f>
        <v>800</v>
      </c>
      <c r="P188" s="36" t="s">
        <v>214</v>
      </c>
    </row>
    <row r="189" spans="1:17" ht="30.75" customHeight="1" x14ac:dyDescent="0.25">
      <c r="A189" s="315"/>
      <c r="B189" s="533" t="s">
        <v>201</v>
      </c>
      <c r="C189" s="626">
        <f t="shared" si="57"/>
        <v>0.56694653115333626</v>
      </c>
      <c r="D189" s="590">
        <f t="shared" si="57"/>
        <v>0.83862902385665172</v>
      </c>
      <c r="E189" s="589">
        <f t="shared" si="57"/>
        <v>0.7078651685393258</v>
      </c>
      <c r="F189" s="590">
        <f t="shared" si="57"/>
        <v>1.0468864468864469</v>
      </c>
      <c r="G189" s="590">
        <f t="shared" si="57"/>
        <v>0.99614537444933915</v>
      </c>
      <c r="H189" s="551"/>
      <c r="I189" s="570" t="s">
        <v>194</v>
      </c>
      <c r="J189" s="314"/>
      <c r="K189"/>
      <c r="N189" s="36">
        <f t="shared" ref="N189" si="58">+N188-200</f>
        <v>600</v>
      </c>
    </row>
    <row r="190" spans="1:17" ht="30.75" customHeight="1" x14ac:dyDescent="0.25">
      <c r="A190" s="315"/>
      <c r="B190" s="533" t="s">
        <v>225</v>
      </c>
      <c r="C190" s="626">
        <f t="shared" si="57"/>
        <v>0.57666813963764918</v>
      </c>
      <c r="D190" s="589">
        <f t="shared" si="57"/>
        <v>0.79352015834982814</v>
      </c>
      <c r="E190" s="589">
        <f t="shared" si="57"/>
        <v>0.7365600691443388</v>
      </c>
      <c r="F190" s="590">
        <f t="shared" si="57"/>
        <v>1.2824175824175825</v>
      </c>
      <c r="G190" s="590">
        <f t="shared" si="57"/>
        <v>0.9653083700440529</v>
      </c>
      <c r="H190" s="551"/>
      <c r="I190" s="570" t="s">
        <v>227</v>
      </c>
      <c r="J190" s="314"/>
      <c r="K190"/>
    </row>
    <row r="191" spans="1:17" ht="30.75" customHeight="1" x14ac:dyDescent="0.25">
      <c r="A191" s="315"/>
      <c r="B191" s="533" t="s">
        <v>258</v>
      </c>
      <c r="C191" s="626">
        <f t="shared" si="57"/>
        <v>0.54220061864781266</v>
      </c>
      <c r="D191" s="590">
        <f t="shared" si="57"/>
        <v>0.87748723825398478</v>
      </c>
      <c r="E191" s="589">
        <f t="shared" si="57"/>
        <v>0.5056179775280899</v>
      </c>
      <c r="F191" s="590">
        <f t="shared" si="57"/>
        <v>1.3622710622710623</v>
      </c>
      <c r="G191" s="590">
        <f t="shared" si="57"/>
        <v>0.89730176211453727</v>
      </c>
      <c r="H191" s="551"/>
      <c r="I191" s="570" t="s">
        <v>259</v>
      </c>
      <c r="J191" s="314"/>
      <c r="K191"/>
    </row>
    <row r="192" spans="1:17" ht="30.75" customHeight="1" x14ac:dyDescent="0.25">
      <c r="A192" s="315"/>
      <c r="B192" s="533" t="s">
        <v>312</v>
      </c>
      <c r="C192" s="626">
        <f t="shared" si="57"/>
        <v>0.61953159522757406</v>
      </c>
      <c r="D192" s="590">
        <f t="shared" si="57"/>
        <v>0.81341806438170638</v>
      </c>
      <c r="E192" s="589">
        <f t="shared" si="57"/>
        <v>0.79498703543647364</v>
      </c>
      <c r="F192" s="590">
        <f t="shared" si="57"/>
        <v>1.1959706959706959</v>
      </c>
      <c r="G192" s="590">
        <f t="shared" si="57"/>
        <v>0.87610132158590304</v>
      </c>
      <c r="H192" s="551"/>
      <c r="I192" s="570" t="s">
        <v>155</v>
      </c>
      <c r="J192" s="314"/>
      <c r="K192"/>
    </row>
    <row r="193" spans="1:14" ht="30.75" customHeight="1" x14ac:dyDescent="0.25">
      <c r="A193" s="315"/>
      <c r="B193" s="533" t="s">
        <v>202</v>
      </c>
      <c r="C193" s="626">
        <f>+C181/C180</f>
        <v>1.157942238267148</v>
      </c>
      <c r="D193" s="589">
        <f>+D181/D180</f>
        <v>1.0082665330661322</v>
      </c>
      <c r="E193" s="590">
        <f>+E181/E180</f>
        <v>1.6002344665885111</v>
      </c>
      <c r="F193" s="590">
        <f>+F181/F180</f>
        <v>0.90129296751813304</v>
      </c>
      <c r="G193" s="590">
        <f>+G181/G180</f>
        <v>0.98987688098495219</v>
      </c>
      <c r="H193" s="552"/>
      <c r="I193" s="570" t="s">
        <v>196</v>
      </c>
      <c r="J193" s="314"/>
      <c r="K193"/>
      <c r="N193" s="36">
        <f>+N189-200</f>
        <v>400</v>
      </c>
    </row>
    <row r="194" spans="1:14" ht="30.75" customHeight="1" x14ac:dyDescent="0.25">
      <c r="A194" s="315"/>
      <c r="B194" s="533" t="s">
        <v>226</v>
      </c>
      <c r="C194" s="626">
        <f>+C182/C180</f>
        <v>1.1777978339350181</v>
      </c>
      <c r="D194" s="590">
        <f>+D182/D180</f>
        <v>0.95403306613226457</v>
      </c>
      <c r="E194" s="590">
        <f>+E182/E180</f>
        <v>1.6651035560765923</v>
      </c>
      <c r="F194" s="589">
        <f>+F182/F180</f>
        <v>1.1040681173131504</v>
      </c>
      <c r="G194" s="590">
        <f>+G182/G180</f>
        <v>0.95923392612859104</v>
      </c>
      <c r="H194" s="552"/>
      <c r="I194" s="570" t="s">
        <v>207</v>
      </c>
      <c r="J194" s="314"/>
      <c r="K194"/>
    </row>
    <row r="195" spans="1:14" ht="30.75" customHeight="1" x14ac:dyDescent="0.25">
      <c r="A195" s="315"/>
      <c r="B195" s="533" t="s">
        <v>260</v>
      </c>
      <c r="C195" s="626">
        <f>+C183/C180</f>
        <v>1.1074007220216606</v>
      </c>
      <c r="D195" s="589">
        <f t="shared" ref="D195:G195" si="59">+D183/D180</f>
        <v>1.0549849699398797</v>
      </c>
      <c r="E195" s="589">
        <f t="shared" si="59"/>
        <v>1.1430246189917936</v>
      </c>
      <c r="F195" s="590">
        <f t="shared" si="59"/>
        <v>1.17281614632608</v>
      </c>
      <c r="G195" s="590">
        <f t="shared" si="59"/>
        <v>0.89165526675786588</v>
      </c>
      <c r="H195" s="552"/>
      <c r="I195" s="570" t="s">
        <v>227</v>
      </c>
      <c r="J195" s="314"/>
      <c r="K195"/>
    </row>
    <row r="196" spans="1:14" ht="30.75" customHeight="1" x14ac:dyDescent="0.25">
      <c r="A196" s="315"/>
      <c r="B196" s="533" t="s">
        <v>313</v>
      </c>
      <c r="C196" s="626">
        <f>+C184/C$180</f>
        <v>1.2653429602888087</v>
      </c>
      <c r="D196" s="590">
        <f t="shared" ref="D196:G196" si="60">+D184/D$180</f>
        <v>0.97795591182364727</v>
      </c>
      <c r="E196" s="589">
        <f t="shared" si="60"/>
        <v>1.7971864009378664</v>
      </c>
      <c r="F196" s="589">
        <f t="shared" si="60"/>
        <v>1.0296436455376852</v>
      </c>
      <c r="G196" s="590">
        <f t="shared" si="60"/>
        <v>0.87058823529411777</v>
      </c>
      <c r="H196" s="552"/>
      <c r="I196" s="570" t="s">
        <v>318</v>
      </c>
      <c r="J196" s="314"/>
      <c r="K196"/>
    </row>
    <row r="197" spans="1:14" ht="30.75" customHeight="1" x14ac:dyDescent="0.25">
      <c r="A197" s="315"/>
      <c r="B197" s="533" t="s">
        <v>261</v>
      </c>
      <c r="C197" s="626">
        <f>+C183/C$181</f>
        <v>0.95635229929851906</v>
      </c>
      <c r="D197" s="590">
        <f t="shared" ref="D197:G198" si="61">+D183/D$181</f>
        <v>1.0463354037267081</v>
      </c>
      <c r="E197" s="590">
        <f t="shared" si="61"/>
        <v>0.7142857142857143</v>
      </c>
      <c r="F197" s="590">
        <f t="shared" si="61"/>
        <v>1.3012596221133661</v>
      </c>
      <c r="G197" s="589">
        <f t="shared" si="61"/>
        <v>0.90077390823659476</v>
      </c>
      <c r="H197" s="552"/>
      <c r="I197" s="570" t="s">
        <v>263</v>
      </c>
      <c r="J197" s="314"/>
      <c r="K197"/>
    </row>
    <row r="198" spans="1:14" ht="30.75" customHeight="1" x14ac:dyDescent="0.25">
      <c r="A198" s="315"/>
      <c r="B198" s="533" t="s">
        <v>314</v>
      </c>
      <c r="C198" s="626">
        <f>+C184/C$181</f>
        <v>1.092751363990647</v>
      </c>
      <c r="D198" s="590">
        <f t="shared" si="61"/>
        <v>0.96993788819875781</v>
      </c>
      <c r="E198" s="589">
        <f t="shared" si="61"/>
        <v>1.1230769230769231</v>
      </c>
      <c r="F198" s="590">
        <f t="shared" si="61"/>
        <v>1.142407277816655</v>
      </c>
      <c r="G198" s="590">
        <f t="shared" si="61"/>
        <v>0.8794914317302378</v>
      </c>
      <c r="H198" s="552"/>
      <c r="I198" s="570" t="s">
        <v>155</v>
      </c>
      <c r="J198" s="314"/>
      <c r="K198"/>
    </row>
    <row r="199" spans="1:14" ht="30.75" customHeight="1" x14ac:dyDescent="0.25">
      <c r="A199" s="315"/>
      <c r="B199" s="533" t="s">
        <v>262</v>
      </c>
      <c r="C199" s="626">
        <f>+C183/C$182</f>
        <v>0.94022988505747129</v>
      </c>
      <c r="D199" s="590">
        <f t="shared" ref="D199:G200" si="62">+D183/D$182</f>
        <v>1.1058159380333465</v>
      </c>
      <c r="E199" s="590">
        <f t="shared" si="62"/>
        <v>0.68645857779863884</v>
      </c>
      <c r="F199" s="590">
        <f t="shared" si="62"/>
        <v>1.0622679234504426</v>
      </c>
      <c r="G199" s="589">
        <f t="shared" si="62"/>
        <v>0.92954934398174549</v>
      </c>
      <c r="H199" s="552"/>
      <c r="I199" s="570" t="s">
        <v>263</v>
      </c>
      <c r="J199" s="314"/>
      <c r="K199"/>
    </row>
    <row r="200" spans="1:14" ht="30.75" customHeight="1" x14ac:dyDescent="0.25">
      <c r="A200" s="315"/>
      <c r="B200" s="533" t="s">
        <v>315</v>
      </c>
      <c r="C200" s="626">
        <f>+C184/C$182</f>
        <v>1.0743295019157089</v>
      </c>
      <c r="D200" s="590">
        <f t="shared" si="62"/>
        <v>1.025075489037679</v>
      </c>
      <c r="E200" s="589">
        <f t="shared" si="62"/>
        <v>1.0793241023233984</v>
      </c>
      <c r="F200" s="590">
        <f t="shared" si="62"/>
        <v>0.93259068837475012</v>
      </c>
      <c r="G200" s="590">
        <f t="shared" si="62"/>
        <v>0.90758699372504281</v>
      </c>
      <c r="H200" s="552"/>
      <c r="I200" s="570" t="s">
        <v>155</v>
      </c>
      <c r="J200" s="314"/>
      <c r="K200"/>
    </row>
    <row r="201" spans="1:14" ht="30.75" customHeight="1" x14ac:dyDescent="0.25">
      <c r="A201" s="315"/>
      <c r="B201" s="533" t="s">
        <v>316</v>
      </c>
      <c r="C201" s="626">
        <f>+C184/C$183</f>
        <v>1.1426242868785657</v>
      </c>
      <c r="D201" s="589">
        <f t="shared" ref="D201:G201" si="63">+D184/D$183</f>
        <v>0.92698563457200522</v>
      </c>
      <c r="E201" s="589">
        <f t="shared" si="63"/>
        <v>1.5723076923076924</v>
      </c>
      <c r="F201" s="590">
        <f t="shared" si="63"/>
        <v>0.87792417316482929</v>
      </c>
      <c r="G201" s="590">
        <f t="shared" si="63"/>
        <v>0.97637312058913794</v>
      </c>
      <c r="H201" s="552"/>
      <c r="I201" s="570" t="s">
        <v>227</v>
      </c>
      <c r="J201" s="314"/>
      <c r="K201"/>
    </row>
    <row r="202" spans="1:14" ht="30.75" customHeight="1" x14ac:dyDescent="0.25">
      <c r="A202" s="315"/>
      <c r="B202" s="863" t="s">
        <v>317</v>
      </c>
      <c r="C202" s="620"/>
      <c r="D202" s="591">
        <f>+SUM(D179:D184)/D178</f>
        <v>0.39780839979418575</v>
      </c>
      <c r="E202" s="591">
        <f t="shared" ref="E202:G202" si="64">+SUM(E179:E184)/E178</f>
        <v>0.56937360441885065</v>
      </c>
      <c r="F202" s="591">
        <f t="shared" si="64"/>
        <v>0.35321757644726698</v>
      </c>
      <c r="G202" s="591">
        <f t="shared" si="64"/>
        <v>0.33808388864568639</v>
      </c>
      <c r="H202" s="550"/>
      <c r="I202" s="571"/>
      <c r="J202" s="314"/>
      <c r="K202"/>
    </row>
    <row r="203" spans="1:14" ht="30.75" customHeight="1" thickBot="1" x14ac:dyDescent="0.3">
      <c r="A203" s="315"/>
      <c r="B203" s="614" t="s">
        <v>212</v>
      </c>
      <c r="C203" s="659"/>
      <c r="D203" s="630">
        <f>+SUM($C$179:$C$184)/D202</f>
        <v>21588.282209332876</v>
      </c>
      <c r="E203" s="630">
        <f t="shared" ref="E203:G203" si="65">+SUM($C$179:$C$184)/E202</f>
        <v>15083.242239101717</v>
      </c>
      <c r="F203" s="630">
        <f t="shared" si="65"/>
        <v>24313.625857410101</v>
      </c>
      <c r="G203" s="630">
        <f t="shared" si="65"/>
        <v>25401.979474390948</v>
      </c>
      <c r="H203" s="548"/>
      <c r="I203" s="544"/>
      <c r="J203" s="545"/>
      <c r="K203"/>
    </row>
    <row r="204" spans="1:14" ht="29.25" customHeight="1" x14ac:dyDescent="0.25">
      <c r="C204" s="295"/>
    </row>
    <row r="205" spans="1:14" ht="29.25" customHeight="1" x14ac:dyDescent="0.25">
      <c r="A205" s="315"/>
      <c r="B205" s="533"/>
      <c r="C205" s="314"/>
      <c r="D205" s="314"/>
      <c r="E205" s="314"/>
      <c r="F205" s="314"/>
      <c r="G205" s="314"/>
      <c r="H205" s="314"/>
      <c r="I205" s="314"/>
      <c r="J205" s="314"/>
      <c r="K205"/>
    </row>
    <row r="206" spans="1:14" ht="29.25" customHeight="1" x14ac:dyDescent="0.25">
      <c r="A206" s="315"/>
      <c r="B206" s="533"/>
      <c r="C206" s="314"/>
      <c r="D206" s="314"/>
      <c r="E206" s="314"/>
      <c r="F206" s="314"/>
      <c r="G206" s="314"/>
      <c r="H206" s="314"/>
      <c r="I206" s="314"/>
      <c r="J206" s="314"/>
      <c r="K206"/>
    </row>
    <row r="207" spans="1:14" ht="29.25" customHeight="1" x14ac:dyDescent="0.25">
      <c r="A207" s="315"/>
      <c r="B207" s="533"/>
      <c r="C207" s="314"/>
      <c r="D207" s="314"/>
      <c r="E207" s="314"/>
      <c r="F207" s="314"/>
      <c r="G207" s="314"/>
      <c r="H207" s="314"/>
      <c r="I207" s="314"/>
      <c r="J207" s="314"/>
      <c r="K207"/>
    </row>
    <row r="208" spans="1:14" ht="29.25" customHeight="1" x14ac:dyDescent="0.25">
      <c r="C208" s="295"/>
    </row>
    <row r="209" spans="3:3" ht="29.25" customHeight="1" x14ac:dyDescent="0.25">
      <c r="C209" s="295"/>
    </row>
    <row r="210" spans="3:3" ht="29.25" customHeight="1" x14ac:dyDescent="0.25">
      <c r="C210" s="295"/>
    </row>
    <row r="211" spans="3:3" ht="29.25" customHeight="1" x14ac:dyDescent="0.25">
      <c r="C211" s="295"/>
    </row>
    <row r="212" spans="3:3" ht="29.25" customHeight="1" x14ac:dyDescent="0.25">
      <c r="C212" s="295"/>
    </row>
    <row r="213" spans="3:3" ht="29.25" customHeight="1" x14ac:dyDescent="0.25">
      <c r="C213" s="295"/>
    </row>
    <row r="214" spans="3:3" ht="29.25" customHeight="1" x14ac:dyDescent="0.25">
      <c r="C214" s="295"/>
    </row>
    <row r="215" spans="3:3" ht="29.25" customHeight="1" x14ac:dyDescent="0.25">
      <c r="C215" s="295"/>
    </row>
    <row r="216" spans="3:3" ht="29.25" customHeight="1" x14ac:dyDescent="0.25">
      <c r="C216" s="295"/>
    </row>
    <row r="217" spans="3:3" ht="29.25" customHeight="1" x14ac:dyDescent="0.25">
      <c r="C217" s="295"/>
    </row>
    <row r="218" spans="3:3" ht="29.25" customHeight="1" x14ac:dyDescent="0.25">
      <c r="C218" s="295"/>
    </row>
    <row r="219" spans="3:3" ht="29.25" customHeight="1" x14ac:dyDescent="0.25">
      <c r="C219" s="295"/>
    </row>
    <row r="220" spans="3:3" ht="29.25" customHeight="1" x14ac:dyDescent="0.25">
      <c r="C220" s="295"/>
    </row>
    <row r="221" spans="3:3" ht="29.25" customHeight="1" x14ac:dyDescent="0.25">
      <c r="C221" s="295"/>
    </row>
    <row r="222" spans="3:3" ht="29.25" customHeight="1" x14ac:dyDescent="0.25">
      <c r="C222" s="295"/>
    </row>
    <row r="223" spans="3:3" ht="29.25" customHeight="1" x14ac:dyDescent="0.25">
      <c r="C223" s="295"/>
    </row>
    <row r="224" spans="3:3" ht="29.25" customHeight="1" x14ac:dyDescent="0.25">
      <c r="C224" s="295"/>
    </row>
    <row r="225" spans="3:3" ht="29.25" customHeight="1" x14ac:dyDescent="0.25">
      <c r="C225" s="295"/>
    </row>
    <row r="227" spans="3:3" ht="29.25" customHeight="1" x14ac:dyDescent="0.25">
      <c r="C227" s="141">
        <f>+SUM(C185:C186)*$O$8</f>
        <v>22741.979591836738</v>
      </c>
    </row>
    <row r="228" spans="3:3" ht="29.25" customHeight="1" x14ac:dyDescent="0.25">
      <c r="C228" s="55" t="s">
        <v>238</v>
      </c>
    </row>
    <row r="229" spans="3:3" ht="29.25" customHeight="1" x14ac:dyDescent="0.25">
      <c r="C229" s="55" t="s">
        <v>239</v>
      </c>
    </row>
    <row r="232" spans="3:3" ht="29.25" customHeight="1" x14ac:dyDescent="0.25">
      <c r="C232" s="295">
        <f>+SUM(C185:C186)*O8</f>
        <v>22741.979591836738</v>
      </c>
    </row>
  </sheetData>
  <mergeCells count="7">
    <mergeCell ref="C174:C175"/>
    <mergeCell ref="B174:B175"/>
    <mergeCell ref="J174:J175"/>
    <mergeCell ref="I174:I175"/>
    <mergeCell ref="A58:I58"/>
    <mergeCell ref="A97:I97"/>
    <mergeCell ref="A116:I116"/>
  </mergeCells>
  <phoneticPr fontId="2" type="noConversion"/>
  <conditionalFormatting sqref="C30:I30">
    <cfRule type="aboveAverage" dxfId="30" priority="60"/>
  </conditionalFormatting>
  <conditionalFormatting sqref="C31:I31">
    <cfRule type="aboveAverage" dxfId="29" priority="59"/>
  </conditionalFormatting>
  <conditionalFormatting sqref="C32:I32">
    <cfRule type="aboveAverage" dxfId="28" priority="58"/>
  </conditionalFormatting>
  <conditionalFormatting sqref="C33:I33">
    <cfRule type="aboveAverage" dxfId="27" priority="57"/>
  </conditionalFormatting>
  <conditionalFormatting sqref="C34:I34">
    <cfRule type="aboveAverage" dxfId="26" priority="56"/>
  </conditionalFormatting>
  <conditionalFormatting sqref="C35:I35">
    <cfRule type="aboveAverage" dxfId="25" priority="55"/>
  </conditionalFormatting>
  <conditionalFormatting sqref="C36:I36">
    <cfRule type="aboveAverage" dxfId="24" priority="54"/>
  </conditionalFormatting>
  <conditionalFormatting sqref="C37:I37">
    <cfRule type="aboveAverage" dxfId="23" priority="53"/>
  </conditionalFormatting>
  <conditionalFormatting sqref="I87:J87 C94:H94 I95:J95">
    <cfRule type="expression" dxfId="22" priority="66">
      <formula>$F$82&gt;N$83</formula>
    </cfRule>
  </conditionalFormatting>
  <conditionalFormatting sqref="H88:J88 C95:H95">
    <cfRule type="expression" dxfId="21" priority="69">
      <formula>$F$82&gt;N$83</formula>
    </cfRule>
  </conditionalFormatting>
  <conditionalFormatting sqref="J144:J157">
    <cfRule type="colorScale" priority="40">
      <colorScale>
        <cfvo type="min"/>
        <cfvo type="max"/>
        <color rgb="FFFCFCFF"/>
        <color rgb="FFF8696B"/>
      </colorScale>
    </cfRule>
  </conditionalFormatting>
  <conditionalFormatting sqref="I144:I157">
    <cfRule type="colorScale" priority="39">
      <colorScale>
        <cfvo type="min"/>
        <cfvo type="max"/>
        <color rgb="FFFCFCFF"/>
        <color rgb="FFF8696B"/>
      </colorScale>
    </cfRule>
  </conditionalFormatting>
  <conditionalFormatting sqref="H144:H157">
    <cfRule type="colorScale" priority="38">
      <colorScale>
        <cfvo type="min"/>
        <cfvo type="max"/>
        <color rgb="FFFCFCFF"/>
        <color rgb="FFF8696B"/>
      </colorScale>
    </cfRule>
  </conditionalFormatting>
  <conditionalFormatting sqref="G144:G158">
    <cfRule type="colorScale" priority="37">
      <colorScale>
        <cfvo type="min"/>
        <cfvo type="max"/>
        <color rgb="FFFCFCFF"/>
        <color rgb="FFF8696B"/>
      </colorScale>
    </cfRule>
  </conditionalFormatting>
  <conditionalFormatting sqref="F144:F158">
    <cfRule type="colorScale" priority="36">
      <colorScale>
        <cfvo type="min"/>
        <cfvo type="max"/>
        <color rgb="FFFCFCFF"/>
        <color rgb="FFF8696B"/>
      </colorScale>
    </cfRule>
  </conditionalFormatting>
  <conditionalFormatting sqref="E144:E158">
    <cfRule type="colorScale" priority="35">
      <colorScale>
        <cfvo type="min"/>
        <cfvo type="max"/>
        <color rgb="FFFCFCFF"/>
        <color rgb="FFF8696B"/>
      </colorScale>
    </cfRule>
  </conditionalFormatting>
  <conditionalFormatting sqref="D144:D156">
    <cfRule type="colorScale" priority="34">
      <colorScale>
        <cfvo type="min"/>
        <cfvo type="max"/>
        <color rgb="FFFCFCFF"/>
        <color rgb="FFF8696B"/>
      </colorScale>
    </cfRule>
  </conditionalFormatting>
  <conditionalFormatting sqref="C144:C163">
    <cfRule type="colorScale" priority="33">
      <colorScale>
        <cfvo type="min"/>
        <cfvo type="max"/>
        <color rgb="FFFCFCFF"/>
        <color rgb="FFF8696B"/>
      </colorScale>
    </cfRule>
  </conditionalFormatting>
  <conditionalFormatting sqref="C27:I27">
    <cfRule type="aboveAverage" dxfId="20" priority="20"/>
  </conditionalFormatting>
  <conditionalFormatting sqref="B144:B163">
    <cfRule type="colorScale" priority="12">
      <colorScale>
        <cfvo type="min"/>
        <cfvo type="max"/>
        <color rgb="FFFCFCFF"/>
        <color rgb="FFF8696B"/>
      </colorScale>
    </cfRule>
  </conditionalFormatting>
  <conditionalFormatting sqref="P27">
    <cfRule type="aboveAverage" dxfId="19" priority="11"/>
  </conditionalFormatting>
  <conditionalFormatting sqref="P30">
    <cfRule type="aboveAverage" dxfId="18" priority="9"/>
  </conditionalFormatting>
  <conditionalFormatting sqref="P31">
    <cfRule type="aboveAverage" dxfId="17" priority="8"/>
  </conditionalFormatting>
  <conditionalFormatting sqref="P32">
    <cfRule type="aboveAverage" dxfId="16" priority="7"/>
  </conditionalFormatting>
  <conditionalFormatting sqref="P33">
    <cfRule type="aboveAverage" dxfId="15" priority="6"/>
  </conditionalFormatting>
  <conditionalFormatting sqref="P34">
    <cfRule type="aboveAverage" dxfId="14" priority="5"/>
  </conditionalFormatting>
  <conditionalFormatting sqref="P35">
    <cfRule type="aboveAverage" dxfId="13" priority="4"/>
  </conditionalFormatting>
  <conditionalFormatting sqref="P36">
    <cfRule type="aboveAverage" dxfId="12" priority="3"/>
  </conditionalFormatting>
  <conditionalFormatting sqref="P37">
    <cfRule type="aboveAverage" dxfId="11" priority="2"/>
  </conditionalFormatting>
  <printOptions horizontalCentered="1" verticalCentered="1"/>
  <pageMargins left="0.11811023622047245" right="0.11811023622047245" top="0" bottom="0.15748031496062992" header="0.31496062992125984" footer="0.31496062992125984"/>
  <pageSetup paperSize="9" scale="58" fitToHeight="4" orientation="portrait" r:id="rId1"/>
  <rowBreaks count="2" manualBreakCount="2">
    <brk id="80" max="9" man="1"/>
    <brk id="140" max="9" man="1"/>
  </rowBreak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962D49B2-B10E-4ACC-BD42-BE144E06F18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E30:E37</xm:sqref>
        </x14:conditionalFormatting>
        <x14:conditionalFormatting xmlns:xm="http://schemas.microsoft.com/office/excel/2006/main">
          <x14:cfRule type="iconSet" priority="19" id="{726B6C96-066B-49F4-A749-E9EFB7427E0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D27 D30:D37</xm:sqref>
        </x14:conditionalFormatting>
        <x14:conditionalFormatting xmlns:xm="http://schemas.microsoft.com/office/excel/2006/main">
          <x14:cfRule type="iconSet" priority="18" id="{346ECC1B-5A20-4BC4-98EF-CF431259764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E27 E30:E37</xm:sqref>
        </x14:conditionalFormatting>
        <x14:conditionalFormatting xmlns:xm="http://schemas.microsoft.com/office/excel/2006/main">
          <x14:cfRule type="iconSet" priority="17" id="{8BBB628B-A950-466E-B1E5-37F59F7788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F27 F30:F37</xm:sqref>
        </x14:conditionalFormatting>
        <x14:conditionalFormatting xmlns:xm="http://schemas.microsoft.com/office/excel/2006/main">
          <x14:cfRule type="iconSet" priority="16" id="{BFB3CD9B-2248-49E9-8E71-5FFE77B18C0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G27 G30:G37</xm:sqref>
        </x14:conditionalFormatting>
        <x14:conditionalFormatting xmlns:xm="http://schemas.microsoft.com/office/excel/2006/main">
          <x14:cfRule type="iconSet" priority="15" id="{204B4E25-0960-40DD-A7A1-3223A34583C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H27 H30:H37</xm:sqref>
        </x14:conditionalFormatting>
        <x14:conditionalFormatting xmlns:xm="http://schemas.microsoft.com/office/excel/2006/main">
          <x14:cfRule type="iconSet" priority="14" id="{17D0060C-482C-4DAA-9EBA-C55FBCDD003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I27 I30:I37</xm:sqref>
        </x14:conditionalFormatting>
        <x14:conditionalFormatting xmlns:xm="http://schemas.microsoft.com/office/excel/2006/main">
          <x14:cfRule type="iconSet" priority="13" id="{D94422DA-CF0F-4712-8BF2-FC6B9DF2A76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C27 C30:C37</xm:sqref>
        </x14:conditionalFormatting>
        <x14:conditionalFormatting xmlns:xm="http://schemas.microsoft.com/office/excel/2006/main">
          <x14:cfRule type="iconSet" priority="10" id="{274F373A-1297-45E2-A067-FB718652C83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P27</xm:sqref>
        </x14:conditionalFormatting>
        <x14:conditionalFormatting xmlns:xm="http://schemas.microsoft.com/office/excel/2006/main">
          <x14:cfRule type="iconSet" priority="1" id="{3E149F69-31DB-4320-98EF-42E8B3CF3C9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P30:P37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잔여알렉스</xm:f>
              <xm:sqref>F165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잔여오스틴리</xm:f>
              <xm:sqref>J165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잔여제이알</xm:f>
              <xm:sqref>I165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잔여마르지엘라</xm:f>
              <xm:sqref>H165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잔여페어리</xm:f>
              <xm:sqref>G165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잔여드리머</xm:f>
              <xm:sqref>E165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잔여김정기</xm:f>
              <xm:sqref>D165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바스키아최근주</xm:f>
              <xm:sqref>C164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오스틴최근주</xm:f>
              <xm:sqref>J164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제이알최근주</xm:f>
              <xm:sqref>I164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마르지엘라최근주</xm:f>
              <xm:sqref>H164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페어리최근주</xm:f>
              <xm:sqref>G164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알렉스최근주</xm:f>
              <xm:sqref>F164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드리머최근주</xm:f>
              <xm:sqref>E164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김정기최근주</xm:f>
              <xm:sqref>D164</xm:sqref>
            </x14:sparkline>
          </x14:sparklines>
        </x14:sparklineGroup>
        <x14:sparklineGroup lineWeight="1" displayEmptyCellsAs="gap" high="1" low="1" displayXAxis="1" minAxisType="group" maxAxisType="group">
          <x14:colorSeries theme="3" tint="0.39997558519241921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4" tint="-0.499984740745262"/>
          <x14:sparklines>
            <x14:sparkline>
              <xm:f>잔여바스키아</xm:f>
              <xm:sqref>C165</xm:sqref>
            </x14:sparkline>
          </x14:sparklines>
        </x14:sparklineGroup>
        <x14:sparklineGroup lineWeight="1.5" displayEmptyCellsAs="gap" high="1" low="1" displayXAxis="1" minAxisType="group" maxAxisType="group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C00000"/>
          <x14:colorLow theme="3" tint="-0.499984740745262"/>
          <x14:sparklines>
            <x14:sparkline>
              <xm:f>윤협최근주</xm:f>
              <xm:sqref>B164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일자별요약v2!C144:C163</xm:f>
              <xm:sqref>C166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일자별요약v2!I144:I157</xm:f>
              <xm:sqref>I166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일자별요약v2!H144:H157</xm:f>
              <xm:sqref>H166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일자별요약v2!G144:G158</xm:f>
              <xm:sqref>G166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일자별요약v2!F144:F158</xm:f>
              <xm:sqref>F166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일자별요약v2!E144:E158</xm:f>
              <xm:sqref>E166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일자별요약v2!D144:D156</xm:f>
              <xm:sqref>D166</xm:sqref>
            </x14:sparkline>
          </x14:sparklines>
        </x14:sparklineGroup>
        <x14:sparklineGroup displayEmptyCellsAs="gap" high="1" low="1">
          <x14:colorSeries theme="8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249977111117893"/>
          <x14:colorLow rgb="FFC00000"/>
          <x14:sparklines>
            <x14:sparkline>
              <xm:f>일자별요약v2!C27:I27</xm:f>
              <xm:sqref>J27</xm:sqref>
            </x14:sparkline>
            <x14:sparkline>
              <xm:f>일자별요약v2!C30:I30</xm:f>
              <xm:sqref>J30</xm:sqref>
            </x14:sparkline>
            <x14:sparkline>
              <xm:f>일자별요약v2!C31:I31</xm:f>
              <xm:sqref>J31</xm:sqref>
            </x14:sparkline>
            <x14:sparkline>
              <xm:f>일자별요약v2!C32:I32</xm:f>
              <xm:sqref>J32</xm:sqref>
            </x14:sparkline>
            <x14:sparkline>
              <xm:f>일자별요약v2!C33:I33</xm:f>
              <xm:sqref>J33</xm:sqref>
            </x14:sparkline>
            <x14:sparkline>
              <xm:f>일자별요약v2!C34:I34</xm:f>
              <xm:sqref>J34</xm:sqref>
            </x14:sparkline>
            <x14:sparkline>
              <xm:f>일자별요약v2!C35:I35</xm:f>
              <xm:sqref>J35</xm:sqref>
            </x14:sparkline>
            <x14:sparkline>
              <xm:f>일자별요약v2!C36:I36</xm:f>
              <xm:sqref>J36</xm:sqref>
            </x14:sparkline>
            <x14:sparkline>
              <xm:f>일자별요약v2!C37:I37</xm:f>
              <xm:sqref>J37</xm:sqref>
            </x14:sparkline>
            <x14:sparkline>
              <xm:f>일자별요약v2!C38:I38</xm:f>
              <xm:sqref>J38</xm:sqref>
            </x14:sparkline>
            <x14:sparkline>
              <xm:f>일자별요약v2!C40:I40</xm:f>
              <xm:sqref>J40</xm:sqref>
            </x14:sparkline>
          </x14:sparklines>
        </x14:sparklineGroup>
        <x14:sparklineGroup lineWeight="1.5" displayEmptyCellsAs="gap" high="1" low="1" minAxisType="group" maxAxisType="group">
          <x14:colorSeries theme="8" tint="-0.249977111117893"/>
          <x14:colorNegative rgb="FFFFB620"/>
          <x14:colorAxis rgb="FF000000"/>
          <x14:colorMarkers rgb="FFD70077"/>
          <x14:colorFirst rgb="FF777777"/>
          <x14:colorLast rgb="FF359CEB"/>
          <x14:colorHigh rgb="FFC00000"/>
          <x14:colorLow theme="9" tint="-0.499984740745262"/>
          <x14:sparklines>
            <x14:sparkline>
              <xm:f>일자별요약v2!J144:J157</xm:f>
              <xm:sqref>J166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2" tint="-0.89999084444715716"/>
  </sheetPr>
  <dimension ref="A2:T1581"/>
  <sheetViews>
    <sheetView showGridLines="0" tabSelected="1" workbookViewId="0">
      <selection activeCell="H19" sqref="H19"/>
    </sheetView>
  </sheetViews>
  <sheetFormatPr defaultColWidth="9.140625" defaultRowHeight="21.75" customHeight="1" x14ac:dyDescent="0.25"/>
  <cols>
    <col min="1" max="3" width="9.140625" style="1"/>
    <col min="4" max="4" width="16.42578125" style="1" customWidth="1"/>
    <col min="5" max="5" width="9.140625" style="6"/>
    <col min="6" max="6" width="9.140625" style="1"/>
    <col min="7" max="7" width="11.85546875" style="1" bestFit="1" customWidth="1"/>
    <col min="8" max="9" width="9.140625" style="1"/>
    <col min="10" max="10" width="11.7109375" style="1" customWidth="1"/>
    <col min="11" max="11" width="11.7109375" style="131" customWidth="1"/>
    <col min="12" max="13" width="11.7109375" style="1" customWidth="1"/>
    <col min="14" max="14" width="9.140625" style="1"/>
    <col min="15" max="15" width="13" style="1" customWidth="1"/>
    <col min="16" max="16384" width="9.140625" style="1"/>
  </cols>
  <sheetData>
    <row r="2" spans="1:20" ht="21.75" customHeight="1" x14ac:dyDescent="0.25">
      <c r="A2" s="4" t="s">
        <v>319</v>
      </c>
      <c r="B2" s="4" t="s">
        <v>320</v>
      </c>
      <c r="C2" s="4" t="s">
        <v>321</v>
      </c>
      <c r="D2" s="5" t="s">
        <v>0</v>
      </c>
      <c r="E2" s="8" t="s">
        <v>1</v>
      </c>
      <c r="F2" s="5" t="s">
        <v>2</v>
      </c>
      <c r="G2" s="2" t="s">
        <v>97</v>
      </c>
      <c r="H2" s="2" t="s">
        <v>98</v>
      </c>
      <c r="I2" s="2" t="s">
        <v>291</v>
      </c>
      <c r="O2" s="3">
        <f t="array" ref="O2">+MAX(IF($E$3:$E$1548&gt;0,$D$3:$D$1548))</f>
        <v>45390</v>
      </c>
    </row>
    <row r="3" spans="1:20" ht="21.75" customHeight="1" x14ac:dyDescent="0.25">
      <c r="A3" s="2">
        <f>+YEAR(D3)</f>
        <v>2020</v>
      </c>
      <c r="B3" s="2">
        <f>+MONTH(D3)</f>
        <v>10</v>
      </c>
      <c r="C3" s="2" t="str">
        <f>+TEXT(D3,"aaa")</f>
        <v>목</v>
      </c>
      <c r="D3" s="3">
        <v>44112</v>
      </c>
      <c r="E3" s="7">
        <v>899</v>
      </c>
      <c r="F3" s="2" t="s">
        <v>3</v>
      </c>
      <c r="G3" s="2">
        <v>13</v>
      </c>
      <c r="H3" s="7">
        <f>+E3-G3</f>
        <v>886</v>
      </c>
      <c r="I3" s="2">
        <f>+COUNTIF(F3:$F$3,F3)</f>
        <v>1</v>
      </c>
      <c r="K3" s="132" t="str">
        <f>+IF(OR(C3="토",C3="일"),"주말","평일")</f>
        <v>평일</v>
      </c>
      <c r="S3" s="2"/>
      <c r="T3" s="2"/>
    </row>
    <row r="4" spans="1:20" ht="21.75" customHeight="1" x14ac:dyDescent="0.25">
      <c r="A4" s="2">
        <f t="shared" ref="A4:A67" si="0">+YEAR(D4)</f>
        <v>2020</v>
      </c>
      <c r="B4" s="2">
        <f t="shared" ref="B4:B67" si="1">+MONTH(D4)</f>
        <v>10</v>
      </c>
      <c r="C4" s="2" t="str">
        <f t="shared" ref="C4:C67" si="2">+TEXT(D4,"aaa")</f>
        <v>금</v>
      </c>
      <c r="D4" s="3">
        <v>44113</v>
      </c>
      <c r="E4" s="7">
        <v>1682</v>
      </c>
      <c r="F4" s="2" t="s">
        <v>3</v>
      </c>
      <c r="G4" s="2">
        <v>30</v>
      </c>
      <c r="H4" s="7">
        <f t="shared" ref="H4:H67" si="3">+E4-G4</f>
        <v>1652</v>
      </c>
      <c r="I4" s="2">
        <f>+COUNTIF(F$3:$F4,F4)</f>
        <v>2</v>
      </c>
      <c r="K4" s="132" t="str">
        <f t="shared" ref="K4:K67" si="4">+IF(OR(C4="토",C4="일"),"주말","평일")</f>
        <v>평일</v>
      </c>
    </row>
    <row r="5" spans="1:20" ht="21.75" customHeight="1" x14ac:dyDescent="0.25">
      <c r="A5" s="2">
        <f t="shared" si="0"/>
        <v>2020</v>
      </c>
      <c r="B5" s="2">
        <f t="shared" si="1"/>
        <v>10</v>
      </c>
      <c r="C5" s="2" t="str">
        <f t="shared" si="2"/>
        <v>토</v>
      </c>
      <c r="D5" s="3">
        <v>44114</v>
      </c>
      <c r="E5" s="7">
        <v>1564</v>
      </c>
      <c r="F5" s="2" t="s">
        <v>3</v>
      </c>
      <c r="G5" s="2">
        <v>25</v>
      </c>
      <c r="H5" s="7">
        <f t="shared" si="3"/>
        <v>1539</v>
      </c>
      <c r="I5" s="2">
        <f>+COUNTIF(F$3:$F5,F5)</f>
        <v>3</v>
      </c>
      <c r="K5" s="132" t="str">
        <f t="shared" si="4"/>
        <v>주말</v>
      </c>
    </row>
    <row r="6" spans="1:20" ht="21.75" customHeight="1" x14ac:dyDescent="0.25">
      <c r="A6" s="2">
        <f t="shared" si="0"/>
        <v>2020</v>
      </c>
      <c r="B6" s="2">
        <f t="shared" si="1"/>
        <v>10</v>
      </c>
      <c r="C6" s="2" t="str">
        <f t="shared" si="2"/>
        <v>일</v>
      </c>
      <c r="D6" s="3">
        <v>44115</v>
      </c>
      <c r="E6" s="7">
        <v>1409</v>
      </c>
      <c r="F6" s="2" t="s">
        <v>3</v>
      </c>
      <c r="G6" s="2">
        <v>19</v>
      </c>
      <c r="H6" s="7">
        <f t="shared" si="3"/>
        <v>1390</v>
      </c>
      <c r="I6" s="2">
        <f>+COUNTIF(F$3:$F6,F6)</f>
        <v>4</v>
      </c>
      <c r="K6" s="132" t="str">
        <f t="shared" si="4"/>
        <v>주말</v>
      </c>
    </row>
    <row r="7" spans="1:20" ht="21.75" customHeight="1" x14ac:dyDescent="0.25">
      <c r="A7" s="2">
        <f t="shared" si="0"/>
        <v>2020</v>
      </c>
      <c r="B7" s="2">
        <f t="shared" si="1"/>
        <v>10</v>
      </c>
      <c r="C7" s="2" t="str">
        <f t="shared" si="2"/>
        <v>월</v>
      </c>
      <c r="D7" s="3">
        <v>44116</v>
      </c>
      <c r="E7" s="7">
        <v>614</v>
      </c>
      <c r="F7" s="2" t="s">
        <v>3</v>
      </c>
      <c r="G7" s="2">
        <v>0</v>
      </c>
      <c r="H7" s="7">
        <f t="shared" si="3"/>
        <v>614</v>
      </c>
      <c r="I7" s="2">
        <f>+COUNTIF(F$3:$F7,F7)</f>
        <v>5</v>
      </c>
      <c r="K7" s="132" t="str">
        <f t="shared" si="4"/>
        <v>평일</v>
      </c>
    </row>
    <row r="8" spans="1:20" ht="21.75" customHeight="1" x14ac:dyDescent="0.25">
      <c r="A8" s="2">
        <f t="shared" si="0"/>
        <v>2020</v>
      </c>
      <c r="B8" s="2">
        <f t="shared" si="1"/>
        <v>10</v>
      </c>
      <c r="C8" s="2" t="str">
        <f t="shared" si="2"/>
        <v>화</v>
      </c>
      <c r="D8" s="3">
        <v>44117</v>
      </c>
      <c r="E8" s="7">
        <v>614</v>
      </c>
      <c r="F8" s="2" t="s">
        <v>3</v>
      </c>
      <c r="G8" s="2">
        <v>16</v>
      </c>
      <c r="H8" s="7">
        <f t="shared" si="3"/>
        <v>598</v>
      </c>
      <c r="I8" s="2">
        <f>+COUNTIF(F$3:$F8,F8)</f>
        <v>6</v>
      </c>
      <c r="K8" s="132" t="str">
        <f t="shared" si="4"/>
        <v>평일</v>
      </c>
    </row>
    <row r="9" spans="1:20" ht="21.75" customHeight="1" x14ac:dyDescent="0.25">
      <c r="A9" s="2">
        <f t="shared" si="0"/>
        <v>2020</v>
      </c>
      <c r="B9" s="2">
        <f t="shared" si="1"/>
        <v>10</v>
      </c>
      <c r="C9" s="2" t="str">
        <f t="shared" si="2"/>
        <v>수</v>
      </c>
      <c r="D9" s="3">
        <v>44118</v>
      </c>
      <c r="E9" s="7">
        <v>727</v>
      </c>
      <c r="F9" s="2" t="s">
        <v>3</v>
      </c>
      <c r="G9" s="2">
        <v>15</v>
      </c>
      <c r="H9" s="7">
        <f t="shared" si="3"/>
        <v>712</v>
      </c>
      <c r="I9" s="2">
        <f>+COUNTIF(F$3:$F9,F9)</f>
        <v>7</v>
      </c>
      <c r="K9" s="132" t="str">
        <f t="shared" si="4"/>
        <v>평일</v>
      </c>
    </row>
    <row r="10" spans="1:20" ht="21.75" customHeight="1" x14ac:dyDescent="0.25">
      <c r="A10" s="2">
        <f t="shared" si="0"/>
        <v>2020</v>
      </c>
      <c r="B10" s="2">
        <f t="shared" si="1"/>
        <v>10</v>
      </c>
      <c r="C10" s="2" t="str">
        <f t="shared" si="2"/>
        <v>목</v>
      </c>
      <c r="D10" s="3">
        <v>44119</v>
      </c>
      <c r="E10" s="7">
        <v>630</v>
      </c>
      <c r="F10" s="2" t="s">
        <v>3</v>
      </c>
      <c r="G10" s="2">
        <v>30</v>
      </c>
      <c r="H10" s="7">
        <f t="shared" si="3"/>
        <v>600</v>
      </c>
      <c r="I10" s="2">
        <f>+COUNTIF(F$3:$F10,F10)</f>
        <v>8</v>
      </c>
      <c r="K10" s="132" t="str">
        <f t="shared" si="4"/>
        <v>평일</v>
      </c>
    </row>
    <row r="11" spans="1:20" ht="21.75" customHeight="1" x14ac:dyDescent="0.25">
      <c r="A11" s="2">
        <f t="shared" si="0"/>
        <v>2020</v>
      </c>
      <c r="B11" s="2">
        <f t="shared" si="1"/>
        <v>10</v>
      </c>
      <c r="C11" s="2" t="str">
        <f t="shared" si="2"/>
        <v>금</v>
      </c>
      <c r="D11" s="3">
        <v>44120</v>
      </c>
      <c r="E11" s="7">
        <v>659</v>
      </c>
      <c r="F11" s="2" t="s">
        <v>3</v>
      </c>
      <c r="G11" s="2">
        <v>22</v>
      </c>
      <c r="H11" s="7">
        <f t="shared" si="3"/>
        <v>637</v>
      </c>
      <c r="I11" s="2">
        <f>+COUNTIF(F$3:$F11,F11)</f>
        <v>9</v>
      </c>
      <c r="K11" s="132" t="str">
        <f t="shared" si="4"/>
        <v>평일</v>
      </c>
    </row>
    <row r="12" spans="1:20" ht="21.75" customHeight="1" x14ac:dyDescent="0.25">
      <c r="A12" s="2">
        <f t="shared" si="0"/>
        <v>2020</v>
      </c>
      <c r="B12" s="2">
        <f t="shared" si="1"/>
        <v>10</v>
      </c>
      <c r="C12" s="2" t="str">
        <f t="shared" si="2"/>
        <v>토</v>
      </c>
      <c r="D12" s="3">
        <v>44121</v>
      </c>
      <c r="E12" s="7">
        <v>1752</v>
      </c>
      <c r="F12" s="2" t="s">
        <v>3</v>
      </c>
      <c r="G12" s="2">
        <v>40</v>
      </c>
      <c r="H12" s="7">
        <f t="shared" si="3"/>
        <v>1712</v>
      </c>
      <c r="I12" s="2">
        <f>+COUNTIF(F$3:$F12,F12)</f>
        <v>10</v>
      </c>
      <c r="K12" s="132" t="str">
        <f t="shared" si="4"/>
        <v>주말</v>
      </c>
    </row>
    <row r="13" spans="1:20" ht="21.75" customHeight="1" x14ac:dyDescent="0.25">
      <c r="A13" s="2">
        <f t="shared" si="0"/>
        <v>2020</v>
      </c>
      <c r="B13" s="2">
        <f t="shared" si="1"/>
        <v>10</v>
      </c>
      <c r="C13" s="2" t="str">
        <f t="shared" si="2"/>
        <v>일</v>
      </c>
      <c r="D13" s="3">
        <v>44122</v>
      </c>
      <c r="E13" s="7">
        <v>1355</v>
      </c>
      <c r="F13" s="2" t="s">
        <v>3</v>
      </c>
      <c r="G13" s="2">
        <v>22</v>
      </c>
      <c r="H13" s="7">
        <f t="shared" si="3"/>
        <v>1333</v>
      </c>
      <c r="I13" s="2">
        <f>+COUNTIF(F$3:$F13,F13)</f>
        <v>11</v>
      </c>
      <c r="K13" s="132" t="str">
        <f t="shared" si="4"/>
        <v>주말</v>
      </c>
    </row>
    <row r="14" spans="1:20" ht="21.75" customHeight="1" x14ac:dyDescent="0.25">
      <c r="A14" s="2">
        <f t="shared" si="0"/>
        <v>2020</v>
      </c>
      <c r="B14" s="2">
        <f t="shared" si="1"/>
        <v>10</v>
      </c>
      <c r="C14" s="2" t="str">
        <f t="shared" si="2"/>
        <v>월</v>
      </c>
      <c r="D14" s="3">
        <v>44123</v>
      </c>
      <c r="E14" s="7">
        <v>540</v>
      </c>
      <c r="F14" s="2" t="s">
        <v>3</v>
      </c>
      <c r="G14" s="2">
        <v>15</v>
      </c>
      <c r="H14" s="7">
        <f t="shared" si="3"/>
        <v>525</v>
      </c>
      <c r="I14" s="2">
        <f>+COUNTIF(F$3:$F14,F14)</f>
        <v>12</v>
      </c>
      <c r="K14" s="132" t="str">
        <f t="shared" si="4"/>
        <v>평일</v>
      </c>
    </row>
    <row r="15" spans="1:20" ht="21.75" customHeight="1" x14ac:dyDescent="0.25">
      <c r="A15" s="2">
        <f t="shared" si="0"/>
        <v>2020</v>
      </c>
      <c r="B15" s="2">
        <f t="shared" si="1"/>
        <v>10</v>
      </c>
      <c r="C15" s="2" t="str">
        <f t="shared" si="2"/>
        <v>화</v>
      </c>
      <c r="D15" s="3">
        <v>44124</v>
      </c>
      <c r="E15" s="7">
        <v>547</v>
      </c>
      <c r="F15" s="2" t="s">
        <v>3</v>
      </c>
      <c r="G15" s="2">
        <v>20</v>
      </c>
      <c r="H15" s="7">
        <f t="shared" si="3"/>
        <v>527</v>
      </c>
      <c r="I15" s="2">
        <f>+COUNTIF(F$3:$F15,F15)</f>
        <v>13</v>
      </c>
      <c r="K15" s="132" t="str">
        <f t="shared" si="4"/>
        <v>평일</v>
      </c>
    </row>
    <row r="16" spans="1:20" ht="21.75" customHeight="1" x14ac:dyDescent="0.25">
      <c r="A16" s="2">
        <f t="shared" si="0"/>
        <v>2020</v>
      </c>
      <c r="B16" s="2">
        <f t="shared" si="1"/>
        <v>10</v>
      </c>
      <c r="C16" s="2" t="str">
        <f t="shared" si="2"/>
        <v>수</v>
      </c>
      <c r="D16" s="3">
        <v>44125</v>
      </c>
      <c r="E16" s="7">
        <v>572</v>
      </c>
      <c r="F16" s="2" t="s">
        <v>3</v>
      </c>
      <c r="G16" s="2">
        <v>26</v>
      </c>
      <c r="H16" s="7">
        <f t="shared" si="3"/>
        <v>546</v>
      </c>
      <c r="I16" s="2">
        <f>+COUNTIF(F$3:$F16,F16)</f>
        <v>14</v>
      </c>
      <c r="K16" s="132" t="str">
        <f t="shared" si="4"/>
        <v>평일</v>
      </c>
    </row>
    <row r="17" spans="1:11" ht="21.75" customHeight="1" x14ac:dyDescent="0.25">
      <c r="A17" s="2">
        <f t="shared" si="0"/>
        <v>2020</v>
      </c>
      <c r="B17" s="2">
        <f t="shared" si="1"/>
        <v>10</v>
      </c>
      <c r="C17" s="2" t="str">
        <f t="shared" si="2"/>
        <v>목</v>
      </c>
      <c r="D17" s="3">
        <v>44126</v>
      </c>
      <c r="E17" s="7">
        <v>450</v>
      </c>
      <c r="F17" s="2" t="s">
        <v>3</v>
      </c>
      <c r="G17" s="2">
        <v>24</v>
      </c>
      <c r="H17" s="7">
        <f t="shared" si="3"/>
        <v>426</v>
      </c>
      <c r="I17" s="2">
        <f>+COUNTIF(F$3:$F17,F17)</f>
        <v>15</v>
      </c>
      <c r="K17" s="132" t="str">
        <f t="shared" si="4"/>
        <v>평일</v>
      </c>
    </row>
    <row r="18" spans="1:11" ht="21.75" customHeight="1" x14ac:dyDescent="0.25">
      <c r="A18" s="2">
        <f t="shared" si="0"/>
        <v>2020</v>
      </c>
      <c r="B18" s="2">
        <f t="shared" si="1"/>
        <v>10</v>
      </c>
      <c r="C18" s="2" t="str">
        <f t="shared" si="2"/>
        <v>금</v>
      </c>
      <c r="D18" s="3">
        <v>44127</v>
      </c>
      <c r="E18" s="7">
        <v>676</v>
      </c>
      <c r="F18" s="2" t="s">
        <v>3</v>
      </c>
      <c r="G18" s="2">
        <v>40</v>
      </c>
      <c r="H18" s="7">
        <f t="shared" si="3"/>
        <v>636</v>
      </c>
      <c r="I18" s="2">
        <f>+COUNTIF(F$3:$F18,F18)</f>
        <v>16</v>
      </c>
      <c r="K18" s="132" t="str">
        <f t="shared" si="4"/>
        <v>평일</v>
      </c>
    </row>
    <row r="19" spans="1:11" ht="21.75" customHeight="1" x14ac:dyDescent="0.25">
      <c r="A19" s="2">
        <f t="shared" si="0"/>
        <v>2020</v>
      </c>
      <c r="B19" s="2">
        <f t="shared" si="1"/>
        <v>10</v>
      </c>
      <c r="C19" s="2" t="str">
        <f t="shared" si="2"/>
        <v>토</v>
      </c>
      <c r="D19" s="3">
        <v>44128</v>
      </c>
      <c r="E19" s="7">
        <v>1741</v>
      </c>
      <c r="F19" s="2" t="s">
        <v>3</v>
      </c>
      <c r="G19" s="2">
        <v>44</v>
      </c>
      <c r="H19" s="7">
        <f t="shared" si="3"/>
        <v>1697</v>
      </c>
      <c r="I19" s="2">
        <f>+COUNTIF(F$3:$F19,F19)</f>
        <v>17</v>
      </c>
      <c r="K19" s="132" t="str">
        <f t="shared" si="4"/>
        <v>주말</v>
      </c>
    </row>
    <row r="20" spans="1:11" ht="21.75" customHeight="1" x14ac:dyDescent="0.25">
      <c r="A20" s="2">
        <f t="shared" si="0"/>
        <v>2020</v>
      </c>
      <c r="B20" s="2">
        <f t="shared" si="1"/>
        <v>10</v>
      </c>
      <c r="C20" s="2" t="str">
        <f t="shared" si="2"/>
        <v>일</v>
      </c>
      <c r="D20" s="3">
        <v>44129</v>
      </c>
      <c r="E20" s="7">
        <v>1210</v>
      </c>
      <c r="F20" s="2" t="s">
        <v>3</v>
      </c>
      <c r="G20" s="2">
        <v>40</v>
      </c>
      <c r="H20" s="7">
        <f t="shared" si="3"/>
        <v>1170</v>
      </c>
      <c r="I20" s="2">
        <f>+COUNTIF(F$3:$F20,F20)</f>
        <v>18</v>
      </c>
      <c r="K20" s="132" t="str">
        <f t="shared" si="4"/>
        <v>주말</v>
      </c>
    </row>
    <row r="21" spans="1:11" ht="21.75" customHeight="1" x14ac:dyDescent="0.25">
      <c r="A21" s="2">
        <f t="shared" si="0"/>
        <v>2020</v>
      </c>
      <c r="B21" s="2">
        <f t="shared" si="1"/>
        <v>10</v>
      </c>
      <c r="C21" s="2" t="str">
        <f t="shared" si="2"/>
        <v>월</v>
      </c>
      <c r="D21" s="3">
        <v>44130</v>
      </c>
      <c r="E21" s="7">
        <v>649</v>
      </c>
      <c r="F21" s="2" t="s">
        <v>3</v>
      </c>
      <c r="G21" s="2">
        <v>23</v>
      </c>
      <c r="H21" s="7">
        <f t="shared" si="3"/>
        <v>626</v>
      </c>
      <c r="I21" s="2">
        <f>+COUNTIF(F$3:$F21,F21)</f>
        <v>19</v>
      </c>
      <c r="K21" s="132" t="str">
        <f t="shared" si="4"/>
        <v>평일</v>
      </c>
    </row>
    <row r="22" spans="1:11" ht="21.75" customHeight="1" x14ac:dyDescent="0.25">
      <c r="A22" s="2">
        <f t="shared" si="0"/>
        <v>2020</v>
      </c>
      <c r="B22" s="2">
        <f t="shared" si="1"/>
        <v>10</v>
      </c>
      <c r="C22" s="2" t="str">
        <f t="shared" si="2"/>
        <v>화</v>
      </c>
      <c r="D22" s="3">
        <v>44131</v>
      </c>
      <c r="E22" s="7">
        <v>491</v>
      </c>
      <c r="F22" s="2" t="s">
        <v>3</v>
      </c>
      <c r="G22" s="2">
        <v>25</v>
      </c>
      <c r="H22" s="7">
        <f t="shared" si="3"/>
        <v>466</v>
      </c>
      <c r="I22" s="2">
        <f>+COUNTIF(F$3:$F22,F22)</f>
        <v>20</v>
      </c>
      <c r="K22" s="132" t="str">
        <f t="shared" si="4"/>
        <v>평일</v>
      </c>
    </row>
    <row r="23" spans="1:11" ht="21.75" customHeight="1" x14ac:dyDescent="0.25">
      <c r="A23" s="2">
        <f t="shared" si="0"/>
        <v>2020</v>
      </c>
      <c r="B23" s="2">
        <f t="shared" si="1"/>
        <v>10</v>
      </c>
      <c r="C23" s="2" t="str">
        <f t="shared" si="2"/>
        <v>수</v>
      </c>
      <c r="D23" s="3">
        <v>44132</v>
      </c>
      <c r="E23" s="7">
        <v>694</v>
      </c>
      <c r="F23" s="2" t="s">
        <v>3</v>
      </c>
      <c r="G23" s="2">
        <v>26</v>
      </c>
      <c r="H23" s="7">
        <f t="shared" si="3"/>
        <v>668</v>
      </c>
      <c r="I23" s="2">
        <f>+COUNTIF(F$3:$F23,F23)</f>
        <v>21</v>
      </c>
      <c r="K23" s="132" t="str">
        <f t="shared" si="4"/>
        <v>평일</v>
      </c>
    </row>
    <row r="24" spans="1:11" ht="21.75" customHeight="1" x14ac:dyDescent="0.25">
      <c r="A24" s="2">
        <f t="shared" si="0"/>
        <v>2020</v>
      </c>
      <c r="B24" s="2">
        <f t="shared" si="1"/>
        <v>10</v>
      </c>
      <c r="C24" s="2" t="str">
        <f t="shared" si="2"/>
        <v>목</v>
      </c>
      <c r="D24" s="3">
        <v>44133</v>
      </c>
      <c r="E24" s="7">
        <v>558</v>
      </c>
      <c r="F24" s="2" t="s">
        <v>3</v>
      </c>
      <c r="G24" s="2">
        <v>17</v>
      </c>
      <c r="H24" s="7">
        <f t="shared" si="3"/>
        <v>541</v>
      </c>
      <c r="I24" s="2">
        <f>+COUNTIF(F$3:$F24,F24)</f>
        <v>22</v>
      </c>
      <c r="K24" s="132" t="str">
        <f t="shared" si="4"/>
        <v>평일</v>
      </c>
    </row>
    <row r="25" spans="1:11" ht="21.75" customHeight="1" x14ac:dyDescent="0.25">
      <c r="A25" s="2">
        <f t="shared" si="0"/>
        <v>2020</v>
      </c>
      <c r="B25" s="2">
        <f t="shared" si="1"/>
        <v>10</v>
      </c>
      <c r="C25" s="2" t="str">
        <f t="shared" si="2"/>
        <v>금</v>
      </c>
      <c r="D25" s="3">
        <v>44134</v>
      </c>
      <c r="E25" s="7">
        <v>765</v>
      </c>
      <c r="F25" s="2" t="s">
        <v>3</v>
      </c>
      <c r="G25" s="2">
        <v>32</v>
      </c>
      <c r="H25" s="7">
        <f t="shared" si="3"/>
        <v>733</v>
      </c>
      <c r="I25" s="2">
        <f>+COUNTIF(F$3:$F25,F25)</f>
        <v>23</v>
      </c>
      <c r="K25" s="132" t="str">
        <f t="shared" si="4"/>
        <v>평일</v>
      </c>
    </row>
    <row r="26" spans="1:11" ht="21.75" customHeight="1" x14ac:dyDescent="0.25">
      <c r="A26" s="2">
        <f t="shared" si="0"/>
        <v>2020</v>
      </c>
      <c r="B26" s="2">
        <f t="shared" si="1"/>
        <v>10</v>
      </c>
      <c r="C26" s="2" t="str">
        <f t="shared" si="2"/>
        <v>토</v>
      </c>
      <c r="D26" s="3">
        <v>44135</v>
      </c>
      <c r="E26" s="7">
        <v>1617</v>
      </c>
      <c r="F26" s="2" t="s">
        <v>3</v>
      </c>
      <c r="G26" s="2">
        <v>52</v>
      </c>
      <c r="H26" s="7">
        <f t="shared" si="3"/>
        <v>1565</v>
      </c>
      <c r="I26" s="2">
        <f>+COUNTIF(F$3:$F26,F26)</f>
        <v>24</v>
      </c>
      <c r="K26" s="132" t="str">
        <f t="shared" si="4"/>
        <v>주말</v>
      </c>
    </row>
    <row r="27" spans="1:11" ht="21.75" customHeight="1" x14ac:dyDescent="0.25">
      <c r="A27" s="2">
        <f t="shared" si="0"/>
        <v>2020</v>
      </c>
      <c r="B27" s="2">
        <f t="shared" si="1"/>
        <v>11</v>
      </c>
      <c r="C27" s="2" t="str">
        <f t="shared" si="2"/>
        <v>일</v>
      </c>
      <c r="D27" s="3">
        <v>44136</v>
      </c>
      <c r="E27" s="7">
        <v>1241</v>
      </c>
      <c r="F27" s="2" t="s">
        <v>3</v>
      </c>
      <c r="G27" s="2">
        <v>35</v>
      </c>
      <c r="H27" s="7">
        <f t="shared" si="3"/>
        <v>1206</v>
      </c>
      <c r="I27" s="2">
        <f>+COUNTIF(F$3:$F27,F27)</f>
        <v>25</v>
      </c>
      <c r="K27" s="132" t="str">
        <f t="shared" si="4"/>
        <v>주말</v>
      </c>
    </row>
    <row r="28" spans="1:11" ht="21.75" customHeight="1" x14ac:dyDescent="0.25">
      <c r="A28" s="2">
        <f t="shared" si="0"/>
        <v>2020</v>
      </c>
      <c r="B28" s="2">
        <f t="shared" si="1"/>
        <v>11</v>
      </c>
      <c r="C28" s="2" t="str">
        <f t="shared" si="2"/>
        <v>월</v>
      </c>
      <c r="D28" s="3">
        <v>44137</v>
      </c>
      <c r="E28" s="7">
        <v>480</v>
      </c>
      <c r="F28" s="2" t="s">
        <v>3</v>
      </c>
      <c r="G28" s="2">
        <v>13</v>
      </c>
      <c r="H28" s="7">
        <f t="shared" si="3"/>
        <v>467</v>
      </c>
      <c r="I28" s="2">
        <f>+COUNTIF(F$3:$F28,F28)</f>
        <v>26</v>
      </c>
      <c r="K28" s="132" t="str">
        <f t="shared" si="4"/>
        <v>평일</v>
      </c>
    </row>
    <row r="29" spans="1:11" ht="21.75" customHeight="1" x14ac:dyDescent="0.25">
      <c r="A29" s="2">
        <f t="shared" si="0"/>
        <v>2020</v>
      </c>
      <c r="B29" s="2">
        <f t="shared" si="1"/>
        <v>11</v>
      </c>
      <c r="C29" s="2" t="str">
        <f t="shared" si="2"/>
        <v>화</v>
      </c>
      <c r="D29" s="3">
        <v>44138</v>
      </c>
      <c r="E29" s="7">
        <v>566</v>
      </c>
      <c r="F29" s="2" t="s">
        <v>3</v>
      </c>
      <c r="G29" s="2">
        <v>30</v>
      </c>
      <c r="H29" s="7">
        <f t="shared" si="3"/>
        <v>536</v>
      </c>
      <c r="I29" s="2">
        <f>+COUNTIF(F$3:$F29,F29)</f>
        <v>27</v>
      </c>
      <c r="K29" s="132" t="str">
        <f t="shared" si="4"/>
        <v>평일</v>
      </c>
    </row>
    <row r="30" spans="1:11" ht="21.75" customHeight="1" x14ac:dyDescent="0.25">
      <c r="A30" s="2">
        <f t="shared" si="0"/>
        <v>2020</v>
      </c>
      <c r="B30" s="2">
        <f t="shared" si="1"/>
        <v>11</v>
      </c>
      <c r="C30" s="2" t="str">
        <f t="shared" si="2"/>
        <v>수</v>
      </c>
      <c r="D30" s="3">
        <v>44139</v>
      </c>
      <c r="E30" s="7">
        <v>616</v>
      </c>
      <c r="F30" s="2" t="s">
        <v>3</v>
      </c>
      <c r="G30" s="2">
        <v>14</v>
      </c>
      <c r="H30" s="7">
        <f t="shared" si="3"/>
        <v>602</v>
      </c>
      <c r="I30" s="2">
        <f>+COUNTIF(F$3:$F30,F30)</f>
        <v>28</v>
      </c>
      <c r="K30" s="132" t="str">
        <f t="shared" si="4"/>
        <v>평일</v>
      </c>
    </row>
    <row r="31" spans="1:11" ht="21.75" customHeight="1" x14ac:dyDescent="0.25">
      <c r="A31" s="2">
        <f t="shared" si="0"/>
        <v>2020</v>
      </c>
      <c r="B31" s="2">
        <f t="shared" si="1"/>
        <v>11</v>
      </c>
      <c r="C31" s="2" t="str">
        <f t="shared" si="2"/>
        <v>목</v>
      </c>
      <c r="D31" s="3">
        <v>44140</v>
      </c>
      <c r="E31" s="7">
        <v>549</v>
      </c>
      <c r="F31" s="2" t="s">
        <v>3</v>
      </c>
      <c r="G31" s="2">
        <v>17</v>
      </c>
      <c r="H31" s="7">
        <f t="shared" si="3"/>
        <v>532</v>
      </c>
      <c r="I31" s="2">
        <f>+COUNTIF(F$3:$F31,F31)</f>
        <v>29</v>
      </c>
      <c r="K31" s="132" t="str">
        <f t="shared" si="4"/>
        <v>평일</v>
      </c>
    </row>
    <row r="32" spans="1:11" ht="21.75" customHeight="1" x14ac:dyDescent="0.25">
      <c r="A32" s="2">
        <f t="shared" si="0"/>
        <v>2020</v>
      </c>
      <c r="B32" s="2">
        <f t="shared" si="1"/>
        <v>11</v>
      </c>
      <c r="C32" s="2" t="str">
        <f t="shared" si="2"/>
        <v>금</v>
      </c>
      <c r="D32" s="3">
        <v>44141</v>
      </c>
      <c r="E32" s="7">
        <v>740</v>
      </c>
      <c r="F32" s="2" t="s">
        <v>3</v>
      </c>
      <c r="G32" s="2">
        <v>22</v>
      </c>
      <c r="H32" s="7">
        <f t="shared" si="3"/>
        <v>718</v>
      </c>
      <c r="I32" s="2">
        <f>+COUNTIF(F$3:$F32,F32)</f>
        <v>30</v>
      </c>
      <c r="K32" s="132" t="str">
        <f t="shared" si="4"/>
        <v>평일</v>
      </c>
    </row>
    <row r="33" spans="1:11" ht="21.75" customHeight="1" x14ac:dyDescent="0.25">
      <c r="A33" s="2">
        <f t="shared" si="0"/>
        <v>2020</v>
      </c>
      <c r="B33" s="2">
        <f t="shared" si="1"/>
        <v>11</v>
      </c>
      <c r="C33" s="2" t="str">
        <f t="shared" si="2"/>
        <v>토</v>
      </c>
      <c r="D33" s="3">
        <v>44142</v>
      </c>
      <c r="E33" s="7">
        <v>1556</v>
      </c>
      <c r="F33" s="2" t="s">
        <v>3</v>
      </c>
      <c r="G33" s="2">
        <v>41</v>
      </c>
      <c r="H33" s="7">
        <f t="shared" si="3"/>
        <v>1515</v>
      </c>
      <c r="I33" s="2">
        <f>+COUNTIF(F$3:$F33,F33)</f>
        <v>31</v>
      </c>
      <c r="K33" s="132" t="str">
        <f t="shared" si="4"/>
        <v>주말</v>
      </c>
    </row>
    <row r="34" spans="1:11" ht="21.75" customHeight="1" x14ac:dyDescent="0.25">
      <c r="A34" s="2">
        <f t="shared" si="0"/>
        <v>2020</v>
      </c>
      <c r="B34" s="2">
        <f t="shared" si="1"/>
        <v>11</v>
      </c>
      <c r="C34" s="2" t="str">
        <f t="shared" si="2"/>
        <v>일</v>
      </c>
      <c r="D34" s="3">
        <v>44143</v>
      </c>
      <c r="E34" s="7">
        <v>1267</v>
      </c>
      <c r="F34" s="2" t="s">
        <v>3</v>
      </c>
      <c r="G34" s="2">
        <v>53</v>
      </c>
      <c r="H34" s="7">
        <f t="shared" si="3"/>
        <v>1214</v>
      </c>
      <c r="I34" s="2">
        <f>+COUNTIF(F$3:$F34,F34)</f>
        <v>32</v>
      </c>
      <c r="K34" s="132" t="str">
        <f t="shared" si="4"/>
        <v>주말</v>
      </c>
    </row>
    <row r="35" spans="1:11" ht="21.75" customHeight="1" x14ac:dyDescent="0.25">
      <c r="A35" s="2">
        <f t="shared" si="0"/>
        <v>2020</v>
      </c>
      <c r="B35" s="2">
        <f t="shared" si="1"/>
        <v>11</v>
      </c>
      <c r="C35" s="2" t="str">
        <f t="shared" si="2"/>
        <v>월</v>
      </c>
      <c r="D35" s="3">
        <v>44144</v>
      </c>
      <c r="E35" s="7">
        <v>719</v>
      </c>
      <c r="F35" s="2" t="s">
        <v>3</v>
      </c>
      <c r="G35" s="2">
        <v>17</v>
      </c>
      <c r="H35" s="7">
        <f t="shared" si="3"/>
        <v>702</v>
      </c>
      <c r="I35" s="2">
        <f>+COUNTIF(F$3:$F35,F35)</f>
        <v>33</v>
      </c>
      <c r="K35" s="132" t="str">
        <f t="shared" si="4"/>
        <v>평일</v>
      </c>
    </row>
    <row r="36" spans="1:11" ht="21.75" customHeight="1" x14ac:dyDescent="0.25">
      <c r="A36" s="2">
        <f t="shared" si="0"/>
        <v>2020</v>
      </c>
      <c r="B36" s="2">
        <f t="shared" si="1"/>
        <v>11</v>
      </c>
      <c r="C36" s="2" t="str">
        <f t="shared" si="2"/>
        <v>화</v>
      </c>
      <c r="D36" s="3">
        <v>44145</v>
      </c>
      <c r="E36" s="7">
        <v>500</v>
      </c>
      <c r="F36" s="2" t="s">
        <v>3</v>
      </c>
      <c r="G36" s="2">
        <v>22</v>
      </c>
      <c r="H36" s="7">
        <f t="shared" si="3"/>
        <v>478</v>
      </c>
      <c r="I36" s="2">
        <f>+COUNTIF(F$3:$F36,F36)</f>
        <v>34</v>
      </c>
      <c r="K36" s="132" t="str">
        <f t="shared" si="4"/>
        <v>평일</v>
      </c>
    </row>
    <row r="37" spans="1:11" ht="21.75" customHeight="1" x14ac:dyDescent="0.25">
      <c r="A37" s="2">
        <f t="shared" si="0"/>
        <v>2020</v>
      </c>
      <c r="B37" s="2">
        <f t="shared" si="1"/>
        <v>11</v>
      </c>
      <c r="C37" s="2" t="str">
        <f t="shared" si="2"/>
        <v>수</v>
      </c>
      <c r="D37" s="3">
        <v>44146</v>
      </c>
      <c r="E37" s="7">
        <v>715</v>
      </c>
      <c r="F37" s="2" t="s">
        <v>3</v>
      </c>
      <c r="G37" s="2">
        <v>21</v>
      </c>
      <c r="H37" s="7">
        <f t="shared" si="3"/>
        <v>694</v>
      </c>
      <c r="I37" s="2">
        <f>+COUNTIF(F$3:$F37,F37)</f>
        <v>35</v>
      </c>
      <c r="K37" s="132" t="str">
        <f t="shared" si="4"/>
        <v>평일</v>
      </c>
    </row>
    <row r="38" spans="1:11" ht="21.75" customHeight="1" x14ac:dyDescent="0.25">
      <c r="A38" s="2">
        <f t="shared" si="0"/>
        <v>2020</v>
      </c>
      <c r="B38" s="2">
        <f t="shared" si="1"/>
        <v>11</v>
      </c>
      <c r="C38" s="2" t="str">
        <f t="shared" si="2"/>
        <v>목</v>
      </c>
      <c r="D38" s="3">
        <v>44147</v>
      </c>
      <c r="E38" s="7">
        <v>606</v>
      </c>
      <c r="F38" s="2" t="s">
        <v>3</v>
      </c>
      <c r="G38" s="2">
        <v>40</v>
      </c>
      <c r="H38" s="7">
        <f t="shared" si="3"/>
        <v>566</v>
      </c>
      <c r="I38" s="2">
        <f>+COUNTIF(F$3:$F38,F38)</f>
        <v>36</v>
      </c>
      <c r="K38" s="132" t="str">
        <f t="shared" si="4"/>
        <v>평일</v>
      </c>
    </row>
    <row r="39" spans="1:11" ht="21.75" customHeight="1" x14ac:dyDescent="0.25">
      <c r="A39" s="2">
        <f t="shared" si="0"/>
        <v>2020</v>
      </c>
      <c r="B39" s="2">
        <f t="shared" si="1"/>
        <v>11</v>
      </c>
      <c r="C39" s="2" t="str">
        <f t="shared" si="2"/>
        <v>금</v>
      </c>
      <c r="D39" s="3">
        <v>44148</v>
      </c>
      <c r="E39" s="7">
        <v>985</v>
      </c>
      <c r="F39" s="2" t="s">
        <v>3</v>
      </c>
      <c r="G39" s="2">
        <v>26</v>
      </c>
      <c r="H39" s="7">
        <f t="shared" si="3"/>
        <v>959</v>
      </c>
      <c r="I39" s="2">
        <f>+COUNTIF(F$3:$F39,F39)</f>
        <v>37</v>
      </c>
      <c r="K39" s="132" t="str">
        <f t="shared" si="4"/>
        <v>평일</v>
      </c>
    </row>
    <row r="40" spans="1:11" ht="21.75" customHeight="1" x14ac:dyDescent="0.25">
      <c r="A40" s="2">
        <f t="shared" si="0"/>
        <v>2020</v>
      </c>
      <c r="B40" s="2">
        <f t="shared" si="1"/>
        <v>11</v>
      </c>
      <c r="C40" s="2" t="str">
        <f t="shared" si="2"/>
        <v>토</v>
      </c>
      <c r="D40" s="3">
        <v>44149</v>
      </c>
      <c r="E40" s="7">
        <v>1776</v>
      </c>
      <c r="F40" s="2" t="s">
        <v>3</v>
      </c>
      <c r="G40" s="2">
        <v>26</v>
      </c>
      <c r="H40" s="7">
        <f t="shared" si="3"/>
        <v>1750</v>
      </c>
      <c r="I40" s="2">
        <f>+COUNTIF(F$3:$F40,F40)</f>
        <v>38</v>
      </c>
      <c r="K40" s="132" t="str">
        <f t="shared" si="4"/>
        <v>주말</v>
      </c>
    </row>
    <row r="41" spans="1:11" ht="21.75" customHeight="1" x14ac:dyDescent="0.25">
      <c r="A41" s="2">
        <f t="shared" si="0"/>
        <v>2020</v>
      </c>
      <c r="B41" s="2">
        <f t="shared" si="1"/>
        <v>11</v>
      </c>
      <c r="C41" s="2" t="str">
        <f t="shared" si="2"/>
        <v>일</v>
      </c>
      <c r="D41" s="3">
        <v>44150</v>
      </c>
      <c r="E41" s="7">
        <v>1300</v>
      </c>
      <c r="F41" s="2" t="s">
        <v>3</v>
      </c>
      <c r="G41" s="2">
        <v>35</v>
      </c>
      <c r="H41" s="7">
        <f t="shared" si="3"/>
        <v>1265</v>
      </c>
      <c r="I41" s="2">
        <f>+COUNTIF(F$3:$F41,F41)</f>
        <v>39</v>
      </c>
      <c r="K41" s="132" t="str">
        <f t="shared" si="4"/>
        <v>주말</v>
      </c>
    </row>
    <row r="42" spans="1:11" ht="21.75" customHeight="1" x14ac:dyDescent="0.25">
      <c r="A42" s="2">
        <f t="shared" si="0"/>
        <v>2020</v>
      </c>
      <c r="B42" s="2">
        <f t="shared" si="1"/>
        <v>11</v>
      </c>
      <c r="C42" s="2" t="str">
        <f t="shared" si="2"/>
        <v>월</v>
      </c>
      <c r="D42" s="3">
        <v>44151</v>
      </c>
      <c r="E42" s="7">
        <v>617</v>
      </c>
      <c r="F42" s="2" t="s">
        <v>3</v>
      </c>
      <c r="G42" s="2">
        <v>22</v>
      </c>
      <c r="H42" s="7">
        <f t="shared" si="3"/>
        <v>595</v>
      </c>
      <c r="I42" s="2">
        <f>+COUNTIF(F$3:$F42,F42)</f>
        <v>40</v>
      </c>
      <c r="K42" s="132" t="str">
        <f t="shared" si="4"/>
        <v>평일</v>
      </c>
    </row>
    <row r="43" spans="1:11" ht="21.75" customHeight="1" x14ac:dyDescent="0.25">
      <c r="A43" s="2">
        <f t="shared" si="0"/>
        <v>2020</v>
      </c>
      <c r="B43" s="2">
        <f t="shared" si="1"/>
        <v>11</v>
      </c>
      <c r="C43" s="2" t="str">
        <f t="shared" si="2"/>
        <v>화</v>
      </c>
      <c r="D43" s="3">
        <v>44152</v>
      </c>
      <c r="E43" s="7">
        <v>579</v>
      </c>
      <c r="F43" s="2" t="s">
        <v>3</v>
      </c>
      <c r="G43" s="2">
        <v>15</v>
      </c>
      <c r="H43" s="7">
        <f t="shared" si="3"/>
        <v>564</v>
      </c>
      <c r="I43" s="2">
        <f>+COUNTIF(F$3:$F43,F43)</f>
        <v>41</v>
      </c>
      <c r="K43" s="132" t="str">
        <f t="shared" si="4"/>
        <v>평일</v>
      </c>
    </row>
    <row r="44" spans="1:11" ht="21.75" customHeight="1" x14ac:dyDescent="0.25">
      <c r="A44" s="2">
        <f t="shared" si="0"/>
        <v>2020</v>
      </c>
      <c r="B44" s="2">
        <f t="shared" si="1"/>
        <v>11</v>
      </c>
      <c r="C44" s="2" t="str">
        <f t="shared" si="2"/>
        <v>수</v>
      </c>
      <c r="D44" s="3">
        <v>44153</v>
      </c>
      <c r="E44" s="7">
        <v>697</v>
      </c>
      <c r="F44" s="2" t="s">
        <v>3</v>
      </c>
      <c r="G44" s="2">
        <v>24</v>
      </c>
      <c r="H44" s="7">
        <f t="shared" si="3"/>
        <v>673</v>
      </c>
      <c r="I44" s="2">
        <f>+COUNTIF(F$3:$F44,F44)</f>
        <v>42</v>
      </c>
      <c r="K44" s="132" t="str">
        <f t="shared" si="4"/>
        <v>평일</v>
      </c>
    </row>
    <row r="45" spans="1:11" ht="21.75" customHeight="1" x14ac:dyDescent="0.25">
      <c r="A45" s="2">
        <f t="shared" si="0"/>
        <v>2020</v>
      </c>
      <c r="B45" s="2">
        <f t="shared" si="1"/>
        <v>11</v>
      </c>
      <c r="C45" s="2" t="str">
        <f t="shared" si="2"/>
        <v>목</v>
      </c>
      <c r="D45" s="3">
        <v>44154</v>
      </c>
      <c r="E45" s="7">
        <v>561</v>
      </c>
      <c r="F45" s="2" t="s">
        <v>3</v>
      </c>
      <c r="G45" s="2">
        <v>15</v>
      </c>
      <c r="H45" s="7">
        <f t="shared" si="3"/>
        <v>546</v>
      </c>
      <c r="I45" s="2">
        <f>+COUNTIF(F$3:$F45,F45)</f>
        <v>43</v>
      </c>
      <c r="K45" s="132" t="str">
        <f t="shared" si="4"/>
        <v>평일</v>
      </c>
    </row>
    <row r="46" spans="1:11" ht="21.75" customHeight="1" x14ac:dyDescent="0.25">
      <c r="A46" s="2">
        <f t="shared" si="0"/>
        <v>2020</v>
      </c>
      <c r="B46" s="2">
        <f t="shared" si="1"/>
        <v>11</v>
      </c>
      <c r="C46" s="2" t="str">
        <f t="shared" si="2"/>
        <v>금</v>
      </c>
      <c r="D46" s="3">
        <v>44155</v>
      </c>
      <c r="E46" s="7">
        <v>755</v>
      </c>
      <c r="F46" s="2" t="s">
        <v>3</v>
      </c>
      <c r="G46" s="2">
        <v>25</v>
      </c>
      <c r="H46" s="7">
        <f t="shared" si="3"/>
        <v>730</v>
      </c>
      <c r="I46" s="2">
        <f>+COUNTIF(F$3:$F46,F46)</f>
        <v>44</v>
      </c>
      <c r="K46" s="132" t="str">
        <f t="shared" si="4"/>
        <v>평일</v>
      </c>
    </row>
    <row r="47" spans="1:11" ht="21.75" customHeight="1" x14ac:dyDescent="0.25">
      <c r="A47" s="2">
        <f t="shared" si="0"/>
        <v>2020</v>
      </c>
      <c r="B47" s="2">
        <f t="shared" si="1"/>
        <v>11</v>
      </c>
      <c r="C47" s="2" t="str">
        <f t="shared" si="2"/>
        <v>토</v>
      </c>
      <c r="D47" s="3">
        <v>44156</v>
      </c>
      <c r="E47" s="7">
        <v>1461</v>
      </c>
      <c r="F47" s="2" t="s">
        <v>3</v>
      </c>
      <c r="G47" s="2">
        <v>45</v>
      </c>
      <c r="H47" s="7">
        <f t="shared" si="3"/>
        <v>1416</v>
      </c>
      <c r="I47" s="2">
        <f>+COUNTIF(F$3:$F47,F47)</f>
        <v>45</v>
      </c>
      <c r="K47" s="132" t="str">
        <f t="shared" si="4"/>
        <v>주말</v>
      </c>
    </row>
    <row r="48" spans="1:11" ht="21.75" customHeight="1" x14ac:dyDescent="0.25">
      <c r="A48" s="2">
        <f t="shared" si="0"/>
        <v>2020</v>
      </c>
      <c r="B48" s="2">
        <f t="shared" si="1"/>
        <v>11</v>
      </c>
      <c r="C48" s="2" t="str">
        <f t="shared" si="2"/>
        <v>일</v>
      </c>
      <c r="D48" s="3">
        <v>44157</v>
      </c>
      <c r="E48" s="7">
        <v>989</v>
      </c>
      <c r="F48" s="2" t="s">
        <v>3</v>
      </c>
      <c r="G48" s="2">
        <v>38</v>
      </c>
      <c r="H48" s="7">
        <f t="shared" si="3"/>
        <v>951</v>
      </c>
      <c r="I48" s="2">
        <f>+COUNTIF(F$3:$F48,F48)</f>
        <v>46</v>
      </c>
      <c r="K48" s="132" t="str">
        <f t="shared" si="4"/>
        <v>주말</v>
      </c>
    </row>
    <row r="49" spans="1:11" ht="21.75" customHeight="1" x14ac:dyDescent="0.25">
      <c r="A49" s="2">
        <f t="shared" si="0"/>
        <v>2020</v>
      </c>
      <c r="B49" s="2">
        <f t="shared" si="1"/>
        <v>11</v>
      </c>
      <c r="C49" s="2" t="str">
        <f t="shared" si="2"/>
        <v>월</v>
      </c>
      <c r="D49" s="3">
        <v>44158</v>
      </c>
      <c r="E49" s="7">
        <v>512</v>
      </c>
      <c r="F49" s="2" t="s">
        <v>3</v>
      </c>
      <c r="G49" s="2">
        <v>39</v>
      </c>
      <c r="H49" s="7">
        <f t="shared" si="3"/>
        <v>473</v>
      </c>
      <c r="I49" s="2">
        <f>+COUNTIF(F$3:$F49,F49)</f>
        <v>47</v>
      </c>
      <c r="K49" s="132" t="str">
        <f t="shared" si="4"/>
        <v>평일</v>
      </c>
    </row>
    <row r="50" spans="1:11" ht="21.75" customHeight="1" x14ac:dyDescent="0.25">
      <c r="A50" s="2">
        <f t="shared" si="0"/>
        <v>2020</v>
      </c>
      <c r="B50" s="2">
        <f t="shared" si="1"/>
        <v>11</v>
      </c>
      <c r="C50" s="2" t="str">
        <f t="shared" si="2"/>
        <v>화</v>
      </c>
      <c r="D50" s="3">
        <v>44159</v>
      </c>
      <c r="E50" s="7">
        <v>435</v>
      </c>
      <c r="F50" s="2" t="s">
        <v>3</v>
      </c>
      <c r="G50" s="2">
        <v>16</v>
      </c>
      <c r="H50" s="7">
        <f t="shared" si="3"/>
        <v>419</v>
      </c>
      <c r="I50" s="2">
        <f>+COUNTIF(F$3:$F50,F50)</f>
        <v>48</v>
      </c>
      <c r="K50" s="132" t="str">
        <f t="shared" si="4"/>
        <v>평일</v>
      </c>
    </row>
    <row r="51" spans="1:11" ht="21.75" customHeight="1" x14ac:dyDescent="0.25">
      <c r="A51" s="2">
        <f t="shared" si="0"/>
        <v>2020</v>
      </c>
      <c r="B51" s="2">
        <f t="shared" si="1"/>
        <v>11</v>
      </c>
      <c r="C51" s="2" t="str">
        <f t="shared" si="2"/>
        <v>수</v>
      </c>
      <c r="D51" s="3">
        <v>44160</v>
      </c>
      <c r="E51" s="7">
        <v>435</v>
      </c>
      <c r="F51" s="2" t="s">
        <v>3</v>
      </c>
      <c r="G51" s="2">
        <v>13</v>
      </c>
      <c r="H51" s="7">
        <f t="shared" si="3"/>
        <v>422</v>
      </c>
      <c r="I51" s="2">
        <f>+COUNTIF(F$3:$F51,F51)</f>
        <v>49</v>
      </c>
      <c r="K51" s="132" t="str">
        <f t="shared" si="4"/>
        <v>평일</v>
      </c>
    </row>
    <row r="52" spans="1:11" ht="21.75" customHeight="1" x14ac:dyDescent="0.25">
      <c r="A52" s="2">
        <f t="shared" si="0"/>
        <v>2020</v>
      </c>
      <c r="B52" s="2">
        <f t="shared" si="1"/>
        <v>11</v>
      </c>
      <c r="C52" s="2" t="str">
        <f t="shared" si="2"/>
        <v>목</v>
      </c>
      <c r="D52" s="3">
        <v>44161</v>
      </c>
      <c r="E52" s="7">
        <v>374</v>
      </c>
      <c r="F52" s="2" t="s">
        <v>3</v>
      </c>
      <c r="G52" s="2">
        <v>16</v>
      </c>
      <c r="H52" s="7">
        <f t="shared" si="3"/>
        <v>358</v>
      </c>
      <c r="I52" s="2">
        <f>+COUNTIF(F$3:$F52,F52)</f>
        <v>50</v>
      </c>
      <c r="K52" s="132" t="str">
        <f t="shared" si="4"/>
        <v>평일</v>
      </c>
    </row>
    <row r="53" spans="1:11" ht="21.75" customHeight="1" x14ac:dyDescent="0.25">
      <c r="A53" s="2">
        <f t="shared" si="0"/>
        <v>2020</v>
      </c>
      <c r="B53" s="2">
        <f t="shared" si="1"/>
        <v>11</v>
      </c>
      <c r="C53" s="2" t="str">
        <f t="shared" si="2"/>
        <v>금</v>
      </c>
      <c r="D53" s="3">
        <v>44162</v>
      </c>
      <c r="E53" s="7">
        <v>410</v>
      </c>
      <c r="F53" s="2" t="s">
        <v>3</v>
      </c>
      <c r="G53" s="2">
        <v>28</v>
      </c>
      <c r="H53" s="7">
        <f t="shared" si="3"/>
        <v>382</v>
      </c>
      <c r="I53" s="2">
        <f>+COUNTIF(F$3:$F53,F53)</f>
        <v>51</v>
      </c>
      <c r="K53" s="132" t="str">
        <f t="shared" si="4"/>
        <v>평일</v>
      </c>
    </row>
    <row r="54" spans="1:11" ht="21.75" customHeight="1" x14ac:dyDescent="0.25">
      <c r="A54" s="2">
        <f t="shared" si="0"/>
        <v>2020</v>
      </c>
      <c r="B54" s="2">
        <f t="shared" si="1"/>
        <v>11</v>
      </c>
      <c r="C54" s="2" t="str">
        <f t="shared" si="2"/>
        <v>토</v>
      </c>
      <c r="D54" s="3">
        <v>44163</v>
      </c>
      <c r="E54" s="7">
        <v>764</v>
      </c>
      <c r="F54" s="2" t="s">
        <v>3</v>
      </c>
      <c r="G54" s="2">
        <v>28</v>
      </c>
      <c r="H54" s="7">
        <f t="shared" si="3"/>
        <v>736</v>
      </c>
      <c r="I54" s="2">
        <f>+COUNTIF(F$3:$F54,F54)</f>
        <v>52</v>
      </c>
      <c r="K54" s="132" t="str">
        <f t="shared" si="4"/>
        <v>주말</v>
      </c>
    </row>
    <row r="55" spans="1:11" ht="21.75" customHeight="1" x14ac:dyDescent="0.25">
      <c r="A55" s="2">
        <f t="shared" si="0"/>
        <v>2020</v>
      </c>
      <c r="B55" s="2">
        <f t="shared" si="1"/>
        <v>11</v>
      </c>
      <c r="C55" s="2" t="str">
        <f t="shared" si="2"/>
        <v>일</v>
      </c>
      <c r="D55" s="3">
        <v>44164</v>
      </c>
      <c r="E55" s="7">
        <v>650</v>
      </c>
      <c r="F55" s="2" t="s">
        <v>3</v>
      </c>
      <c r="G55" s="2">
        <v>18</v>
      </c>
      <c r="H55" s="7">
        <f t="shared" si="3"/>
        <v>632</v>
      </c>
      <c r="I55" s="2">
        <f>+COUNTIF(F$3:$F55,F55)</f>
        <v>53</v>
      </c>
      <c r="K55" s="132" t="str">
        <f t="shared" si="4"/>
        <v>주말</v>
      </c>
    </row>
    <row r="56" spans="1:11" ht="21.75" customHeight="1" x14ac:dyDescent="0.25">
      <c r="A56" s="2">
        <f t="shared" si="0"/>
        <v>2020</v>
      </c>
      <c r="B56" s="2">
        <f t="shared" si="1"/>
        <v>11</v>
      </c>
      <c r="C56" s="2" t="str">
        <f t="shared" si="2"/>
        <v>월</v>
      </c>
      <c r="D56" s="3">
        <v>44165</v>
      </c>
      <c r="E56" s="7">
        <v>346</v>
      </c>
      <c r="F56" s="2" t="s">
        <v>3</v>
      </c>
      <c r="G56" s="2">
        <v>4</v>
      </c>
      <c r="H56" s="7">
        <f t="shared" si="3"/>
        <v>342</v>
      </c>
      <c r="I56" s="2">
        <f>+COUNTIF(F$3:$F56,F56)</f>
        <v>54</v>
      </c>
      <c r="K56" s="132" t="str">
        <f t="shared" si="4"/>
        <v>평일</v>
      </c>
    </row>
    <row r="57" spans="1:11" ht="21.75" customHeight="1" x14ac:dyDescent="0.25">
      <c r="A57" s="2">
        <f t="shared" si="0"/>
        <v>2020</v>
      </c>
      <c r="B57" s="2">
        <f t="shared" si="1"/>
        <v>12</v>
      </c>
      <c r="C57" s="2" t="str">
        <f t="shared" si="2"/>
        <v>화</v>
      </c>
      <c r="D57" s="3">
        <v>44166</v>
      </c>
      <c r="E57" s="7">
        <v>240</v>
      </c>
      <c r="F57" s="2" t="s">
        <v>3</v>
      </c>
      <c r="G57" s="2">
        <v>7</v>
      </c>
      <c r="H57" s="7">
        <f t="shared" si="3"/>
        <v>233</v>
      </c>
      <c r="I57" s="2">
        <f>+COUNTIF(F$3:$F57,F57)</f>
        <v>55</v>
      </c>
      <c r="K57" s="132" t="str">
        <f t="shared" si="4"/>
        <v>평일</v>
      </c>
    </row>
    <row r="58" spans="1:11" ht="21.75" customHeight="1" x14ac:dyDescent="0.25">
      <c r="A58" s="2">
        <f t="shared" si="0"/>
        <v>2020</v>
      </c>
      <c r="B58" s="2">
        <f t="shared" si="1"/>
        <v>12</v>
      </c>
      <c r="C58" s="2" t="str">
        <f t="shared" si="2"/>
        <v>수</v>
      </c>
      <c r="D58" s="3">
        <v>44167</v>
      </c>
      <c r="E58" s="7">
        <v>221</v>
      </c>
      <c r="F58" s="2" t="s">
        <v>3</v>
      </c>
      <c r="G58" s="2">
        <v>9</v>
      </c>
      <c r="H58" s="7">
        <f t="shared" si="3"/>
        <v>212</v>
      </c>
      <c r="I58" s="2">
        <f>+COUNTIF(F$3:$F58,F58)</f>
        <v>56</v>
      </c>
      <c r="K58" s="132" t="str">
        <f t="shared" si="4"/>
        <v>평일</v>
      </c>
    </row>
    <row r="59" spans="1:11" ht="21.75" customHeight="1" x14ac:dyDescent="0.25">
      <c r="A59" s="2">
        <f t="shared" si="0"/>
        <v>2020</v>
      </c>
      <c r="B59" s="2">
        <f t="shared" si="1"/>
        <v>12</v>
      </c>
      <c r="C59" s="2" t="str">
        <f t="shared" si="2"/>
        <v>목</v>
      </c>
      <c r="D59" s="3">
        <v>44168</v>
      </c>
      <c r="E59" s="7">
        <v>301</v>
      </c>
      <c r="F59" s="2" t="s">
        <v>3</v>
      </c>
      <c r="G59" s="2">
        <v>5</v>
      </c>
      <c r="H59" s="7">
        <f t="shared" si="3"/>
        <v>296</v>
      </c>
      <c r="I59" s="2">
        <f>+COUNTIF(F$3:$F59,F59)</f>
        <v>57</v>
      </c>
      <c r="K59" s="132" t="str">
        <f t="shared" si="4"/>
        <v>평일</v>
      </c>
    </row>
    <row r="60" spans="1:11" ht="21.75" customHeight="1" x14ac:dyDescent="0.25">
      <c r="A60" s="2">
        <f t="shared" si="0"/>
        <v>2020</v>
      </c>
      <c r="B60" s="2">
        <f t="shared" si="1"/>
        <v>12</v>
      </c>
      <c r="C60" s="2" t="str">
        <f t="shared" si="2"/>
        <v>금</v>
      </c>
      <c r="D60" s="3">
        <v>44169</v>
      </c>
      <c r="E60" s="7">
        <v>383</v>
      </c>
      <c r="F60" s="2" t="s">
        <v>3</v>
      </c>
      <c r="G60" s="2">
        <v>33</v>
      </c>
      <c r="H60" s="7">
        <f t="shared" si="3"/>
        <v>350</v>
      </c>
      <c r="I60" s="2">
        <f>+COUNTIF(F$3:$F60,F60)</f>
        <v>58</v>
      </c>
      <c r="K60" s="132" t="str">
        <f t="shared" si="4"/>
        <v>평일</v>
      </c>
    </row>
    <row r="61" spans="1:11" ht="21.75" customHeight="1" x14ac:dyDescent="0.25">
      <c r="A61" s="2">
        <f t="shared" si="0"/>
        <v>2020</v>
      </c>
      <c r="B61" s="2">
        <f t="shared" si="1"/>
        <v>12</v>
      </c>
      <c r="C61" s="2" t="str">
        <f t="shared" si="2"/>
        <v>토</v>
      </c>
      <c r="D61" s="3">
        <v>44170</v>
      </c>
      <c r="E61" s="7">
        <v>534</v>
      </c>
      <c r="F61" s="2" t="s">
        <v>3</v>
      </c>
      <c r="G61" s="2">
        <v>28</v>
      </c>
      <c r="H61" s="7">
        <f t="shared" si="3"/>
        <v>506</v>
      </c>
      <c r="I61" s="2">
        <f>+COUNTIF(F$3:$F61,F61)</f>
        <v>59</v>
      </c>
      <c r="K61" s="132" t="str">
        <f t="shared" si="4"/>
        <v>주말</v>
      </c>
    </row>
    <row r="62" spans="1:11" ht="21.75" customHeight="1" x14ac:dyDescent="0.25">
      <c r="A62" s="2">
        <f t="shared" si="0"/>
        <v>2020</v>
      </c>
      <c r="B62" s="2">
        <f t="shared" si="1"/>
        <v>12</v>
      </c>
      <c r="C62" s="2" t="str">
        <f t="shared" si="2"/>
        <v>일</v>
      </c>
      <c r="D62" s="3">
        <v>44171</v>
      </c>
      <c r="E62" s="7">
        <v>412</v>
      </c>
      <c r="F62" s="2" t="s">
        <v>3</v>
      </c>
      <c r="G62" s="2">
        <v>18</v>
      </c>
      <c r="H62" s="7">
        <f t="shared" si="3"/>
        <v>394</v>
      </c>
      <c r="I62" s="2">
        <f>+COUNTIF(F$3:$F62,F62)</f>
        <v>60</v>
      </c>
      <c r="K62" s="132" t="str">
        <f t="shared" si="4"/>
        <v>주말</v>
      </c>
    </row>
    <row r="63" spans="1:11" ht="21.75" customHeight="1" x14ac:dyDescent="0.25">
      <c r="A63" s="2">
        <f t="shared" si="0"/>
        <v>2020</v>
      </c>
      <c r="B63" s="2">
        <f t="shared" si="1"/>
        <v>12</v>
      </c>
      <c r="C63" s="2" t="str">
        <f t="shared" si="2"/>
        <v>월</v>
      </c>
      <c r="D63" s="3">
        <v>44172</v>
      </c>
      <c r="E63" s="7">
        <v>217</v>
      </c>
      <c r="F63" s="2" t="s">
        <v>3</v>
      </c>
      <c r="G63" s="2">
        <v>13</v>
      </c>
      <c r="H63" s="7">
        <f t="shared" si="3"/>
        <v>204</v>
      </c>
      <c r="I63" s="2">
        <f>+COUNTIF(F$3:$F63,F63)</f>
        <v>61</v>
      </c>
      <c r="K63" s="132" t="str">
        <f t="shared" si="4"/>
        <v>평일</v>
      </c>
    </row>
    <row r="64" spans="1:11" ht="21.75" customHeight="1" x14ac:dyDescent="0.25">
      <c r="A64" s="2">
        <f t="shared" si="0"/>
        <v>2020</v>
      </c>
      <c r="B64" s="2">
        <f t="shared" si="1"/>
        <v>12</v>
      </c>
      <c r="C64" s="2" t="str">
        <f t="shared" si="2"/>
        <v>화</v>
      </c>
      <c r="D64" s="3">
        <v>44173</v>
      </c>
      <c r="E64" s="7">
        <v>167</v>
      </c>
      <c r="F64" s="2" t="s">
        <v>3</v>
      </c>
      <c r="G64" s="2">
        <v>5</v>
      </c>
      <c r="H64" s="7">
        <f t="shared" si="3"/>
        <v>162</v>
      </c>
      <c r="I64" s="2">
        <f>+COUNTIF(F$3:$F64,F64)</f>
        <v>62</v>
      </c>
      <c r="K64" s="132" t="str">
        <f t="shared" si="4"/>
        <v>평일</v>
      </c>
    </row>
    <row r="65" spans="1:11" ht="21.75" customHeight="1" x14ac:dyDescent="0.25">
      <c r="A65" s="2">
        <f t="shared" si="0"/>
        <v>2020</v>
      </c>
      <c r="B65" s="2">
        <f t="shared" si="1"/>
        <v>12</v>
      </c>
      <c r="C65" s="2" t="str">
        <f t="shared" si="2"/>
        <v>수</v>
      </c>
      <c r="D65" s="3">
        <v>44174</v>
      </c>
      <c r="E65" s="7">
        <v>187</v>
      </c>
      <c r="F65" s="2" t="s">
        <v>3</v>
      </c>
      <c r="G65" s="2">
        <v>11</v>
      </c>
      <c r="H65" s="7">
        <f t="shared" si="3"/>
        <v>176</v>
      </c>
      <c r="I65" s="2">
        <f>+COUNTIF(F$3:$F65,F65)</f>
        <v>63</v>
      </c>
      <c r="K65" s="132" t="str">
        <f t="shared" si="4"/>
        <v>평일</v>
      </c>
    </row>
    <row r="66" spans="1:11" ht="21.75" customHeight="1" x14ac:dyDescent="0.25">
      <c r="A66" s="2">
        <f t="shared" si="0"/>
        <v>2020</v>
      </c>
      <c r="B66" s="2">
        <f t="shared" si="1"/>
        <v>12</v>
      </c>
      <c r="C66" s="2" t="str">
        <f t="shared" si="2"/>
        <v>목</v>
      </c>
      <c r="D66" s="3">
        <v>44175</v>
      </c>
      <c r="E66" s="7">
        <v>180</v>
      </c>
      <c r="F66" s="2" t="s">
        <v>3</v>
      </c>
      <c r="G66" s="2">
        <v>2</v>
      </c>
      <c r="H66" s="7">
        <f t="shared" si="3"/>
        <v>178</v>
      </c>
      <c r="I66" s="2">
        <f>+COUNTIF(F$3:$F66,F66)</f>
        <v>64</v>
      </c>
      <c r="K66" s="132" t="str">
        <f t="shared" si="4"/>
        <v>평일</v>
      </c>
    </row>
    <row r="67" spans="1:11" ht="21.75" customHeight="1" x14ac:dyDescent="0.25">
      <c r="A67" s="2">
        <f t="shared" si="0"/>
        <v>2020</v>
      </c>
      <c r="B67" s="2">
        <f t="shared" si="1"/>
        <v>12</v>
      </c>
      <c r="C67" s="2" t="str">
        <f t="shared" si="2"/>
        <v>금</v>
      </c>
      <c r="D67" s="3">
        <v>44176</v>
      </c>
      <c r="E67" s="7">
        <v>246</v>
      </c>
      <c r="F67" s="2" t="s">
        <v>3</v>
      </c>
      <c r="G67" s="2">
        <v>11</v>
      </c>
      <c r="H67" s="7">
        <f t="shared" si="3"/>
        <v>235</v>
      </c>
      <c r="I67" s="2">
        <f>+COUNTIF(F$3:$F67,F67)</f>
        <v>65</v>
      </c>
      <c r="K67" s="132" t="str">
        <f t="shared" si="4"/>
        <v>평일</v>
      </c>
    </row>
    <row r="68" spans="1:11" ht="21.75" customHeight="1" x14ac:dyDescent="0.25">
      <c r="A68" s="2">
        <f t="shared" ref="A68:A131" si="5">+YEAR(D68)</f>
        <v>2020</v>
      </c>
      <c r="B68" s="2">
        <f t="shared" ref="B68:B131" si="6">+MONTH(D68)</f>
        <v>12</v>
      </c>
      <c r="C68" s="2" t="str">
        <f t="shared" ref="C68:C131" si="7">+TEXT(D68,"aaa")</f>
        <v>토</v>
      </c>
      <c r="D68" s="3">
        <v>44177</v>
      </c>
      <c r="E68" s="7">
        <v>439</v>
      </c>
      <c r="F68" s="2" t="s">
        <v>3</v>
      </c>
      <c r="G68" s="2">
        <v>16</v>
      </c>
      <c r="H68" s="7">
        <f t="shared" ref="H68:H131" si="8">+E68-G68</f>
        <v>423</v>
      </c>
      <c r="I68" s="2">
        <f>+COUNTIF(F$3:$F68,F68)</f>
        <v>66</v>
      </c>
      <c r="K68" s="132" t="str">
        <f t="shared" ref="K68:K131" si="9">+IF(OR(C68="토",C68="일"),"주말","평일")</f>
        <v>주말</v>
      </c>
    </row>
    <row r="69" spans="1:11" ht="21.75" customHeight="1" x14ac:dyDescent="0.25">
      <c r="A69" s="2">
        <f t="shared" si="5"/>
        <v>2020</v>
      </c>
      <c r="B69" s="2">
        <f t="shared" si="6"/>
        <v>12</v>
      </c>
      <c r="C69" s="2" t="str">
        <f t="shared" si="7"/>
        <v>일</v>
      </c>
      <c r="D69" s="3">
        <v>44178</v>
      </c>
      <c r="E69" s="7">
        <v>248</v>
      </c>
      <c r="F69" s="2" t="s">
        <v>3</v>
      </c>
      <c r="G69" s="2">
        <v>7</v>
      </c>
      <c r="H69" s="7">
        <f t="shared" si="8"/>
        <v>241</v>
      </c>
      <c r="I69" s="2">
        <f>+COUNTIF(F$3:$F69,F69)</f>
        <v>67</v>
      </c>
      <c r="K69" s="132" t="str">
        <f t="shared" si="9"/>
        <v>주말</v>
      </c>
    </row>
    <row r="70" spans="1:11" ht="21.75" customHeight="1" x14ac:dyDescent="0.25">
      <c r="A70" s="2">
        <f t="shared" si="5"/>
        <v>2020</v>
      </c>
      <c r="B70" s="2">
        <f t="shared" si="6"/>
        <v>12</v>
      </c>
      <c r="C70" s="2" t="str">
        <f t="shared" si="7"/>
        <v>월</v>
      </c>
      <c r="D70" s="3">
        <v>44179</v>
      </c>
      <c r="E70" s="7">
        <v>151</v>
      </c>
      <c r="F70" s="2" t="s">
        <v>3</v>
      </c>
      <c r="G70" s="2">
        <v>10</v>
      </c>
      <c r="H70" s="7">
        <f t="shared" si="8"/>
        <v>141</v>
      </c>
      <c r="I70" s="2">
        <f>+COUNTIF(F$3:$F70,F70)</f>
        <v>68</v>
      </c>
      <c r="K70" s="132" t="str">
        <f t="shared" si="9"/>
        <v>평일</v>
      </c>
    </row>
    <row r="71" spans="1:11" ht="21.75" customHeight="1" x14ac:dyDescent="0.25">
      <c r="A71" s="2">
        <f t="shared" si="5"/>
        <v>2020</v>
      </c>
      <c r="B71" s="2">
        <f t="shared" si="6"/>
        <v>12</v>
      </c>
      <c r="C71" s="2" t="str">
        <f t="shared" si="7"/>
        <v>화</v>
      </c>
      <c r="D71" s="3">
        <v>44180</v>
      </c>
      <c r="E71" s="7">
        <v>173</v>
      </c>
      <c r="F71" s="2" t="s">
        <v>3</v>
      </c>
      <c r="G71" s="2">
        <v>40</v>
      </c>
      <c r="H71" s="7">
        <f t="shared" si="8"/>
        <v>133</v>
      </c>
      <c r="I71" s="2">
        <f>+COUNTIF(F$3:$F71,F71)</f>
        <v>69</v>
      </c>
      <c r="K71" s="132" t="str">
        <f t="shared" si="9"/>
        <v>평일</v>
      </c>
    </row>
    <row r="72" spans="1:11" ht="21.75" customHeight="1" x14ac:dyDescent="0.25">
      <c r="A72" s="2">
        <f t="shared" si="5"/>
        <v>2020</v>
      </c>
      <c r="B72" s="2">
        <f t="shared" si="6"/>
        <v>12</v>
      </c>
      <c r="C72" s="2" t="str">
        <f t="shared" si="7"/>
        <v>수</v>
      </c>
      <c r="D72" s="3">
        <v>44181</v>
      </c>
      <c r="E72" s="7">
        <v>129</v>
      </c>
      <c r="F72" s="2" t="s">
        <v>3</v>
      </c>
      <c r="G72" s="2">
        <v>10</v>
      </c>
      <c r="H72" s="7">
        <f t="shared" si="8"/>
        <v>119</v>
      </c>
      <c r="I72" s="2">
        <f>+COUNTIF(F$3:$F72,F72)</f>
        <v>70</v>
      </c>
      <c r="K72" s="132" t="str">
        <f t="shared" si="9"/>
        <v>평일</v>
      </c>
    </row>
    <row r="73" spans="1:11" ht="21.75" customHeight="1" x14ac:dyDescent="0.25">
      <c r="A73" s="2">
        <f t="shared" si="5"/>
        <v>2020</v>
      </c>
      <c r="B73" s="2">
        <f t="shared" si="6"/>
        <v>12</v>
      </c>
      <c r="C73" s="2" t="str">
        <f t="shared" si="7"/>
        <v>목</v>
      </c>
      <c r="D73" s="3">
        <v>44182</v>
      </c>
      <c r="E73" s="7">
        <v>156</v>
      </c>
      <c r="F73" s="2" t="s">
        <v>3</v>
      </c>
      <c r="G73" s="2">
        <v>4</v>
      </c>
      <c r="H73" s="7">
        <f t="shared" si="8"/>
        <v>152</v>
      </c>
      <c r="I73" s="2">
        <f>+COUNTIF(F$3:$F73,F73)</f>
        <v>71</v>
      </c>
      <c r="K73" s="132" t="str">
        <f t="shared" si="9"/>
        <v>평일</v>
      </c>
    </row>
    <row r="74" spans="1:11" ht="21.75" customHeight="1" x14ac:dyDescent="0.25">
      <c r="A74" s="2">
        <f t="shared" si="5"/>
        <v>2020</v>
      </c>
      <c r="B74" s="2">
        <f t="shared" si="6"/>
        <v>12</v>
      </c>
      <c r="C74" s="2" t="str">
        <f t="shared" si="7"/>
        <v>금</v>
      </c>
      <c r="D74" s="3">
        <v>44183</v>
      </c>
      <c r="E74" s="7">
        <v>211</v>
      </c>
      <c r="F74" s="2" t="s">
        <v>3</v>
      </c>
      <c r="G74" s="2">
        <v>13</v>
      </c>
      <c r="H74" s="7">
        <f t="shared" si="8"/>
        <v>198</v>
      </c>
      <c r="I74" s="2">
        <f>+COUNTIF(F$3:$F74,F74)</f>
        <v>72</v>
      </c>
      <c r="K74" s="132" t="str">
        <f t="shared" si="9"/>
        <v>평일</v>
      </c>
    </row>
    <row r="75" spans="1:11" ht="21.75" customHeight="1" x14ac:dyDescent="0.25">
      <c r="A75" s="2">
        <f t="shared" si="5"/>
        <v>2020</v>
      </c>
      <c r="B75" s="2">
        <f t="shared" si="6"/>
        <v>12</v>
      </c>
      <c r="C75" s="2" t="str">
        <f t="shared" si="7"/>
        <v>토</v>
      </c>
      <c r="D75" s="3">
        <v>44184</v>
      </c>
      <c r="E75" s="7">
        <v>278</v>
      </c>
      <c r="F75" s="2" t="s">
        <v>3</v>
      </c>
      <c r="G75" s="2">
        <v>7</v>
      </c>
      <c r="H75" s="7">
        <f t="shared" si="8"/>
        <v>271</v>
      </c>
      <c r="I75" s="2">
        <f>+COUNTIF(F$3:$F75,F75)</f>
        <v>73</v>
      </c>
      <c r="K75" s="132" t="str">
        <f t="shared" si="9"/>
        <v>주말</v>
      </c>
    </row>
    <row r="76" spans="1:11" ht="21.75" customHeight="1" x14ac:dyDescent="0.25">
      <c r="A76" s="2">
        <f t="shared" si="5"/>
        <v>2020</v>
      </c>
      <c r="B76" s="2">
        <f t="shared" si="6"/>
        <v>12</v>
      </c>
      <c r="C76" s="2" t="str">
        <f t="shared" si="7"/>
        <v>일</v>
      </c>
      <c r="D76" s="3">
        <v>44185</v>
      </c>
      <c r="E76" s="7">
        <v>291</v>
      </c>
      <c r="F76" s="2" t="s">
        <v>3</v>
      </c>
      <c r="G76" s="2">
        <v>15</v>
      </c>
      <c r="H76" s="7">
        <f t="shared" si="8"/>
        <v>276</v>
      </c>
      <c r="I76" s="2">
        <f>+COUNTIF(F$3:$F76,F76)</f>
        <v>74</v>
      </c>
      <c r="K76" s="132" t="str">
        <f t="shared" si="9"/>
        <v>주말</v>
      </c>
    </row>
    <row r="77" spans="1:11" ht="21.75" customHeight="1" x14ac:dyDescent="0.25">
      <c r="A77" s="2">
        <f t="shared" si="5"/>
        <v>2020</v>
      </c>
      <c r="B77" s="2">
        <f t="shared" si="6"/>
        <v>12</v>
      </c>
      <c r="C77" s="2" t="str">
        <f t="shared" si="7"/>
        <v>월</v>
      </c>
      <c r="D77" s="3">
        <v>44186</v>
      </c>
      <c r="E77" s="7">
        <v>195</v>
      </c>
      <c r="F77" s="2" t="s">
        <v>3</v>
      </c>
      <c r="G77" s="2">
        <v>7</v>
      </c>
      <c r="H77" s="7">
        <f t="shared" si="8"/>
        <v>188</v>
      </c>
      <c r="I77" s="2">
        <f>+COUNTIF(F$3:$F77,F77)</f>
        <v>75</v>
      </c>
      <c r="K77" s="132" t="str">
        <f t="shared" si="9"/>
        <v>평일</v>
      </c>
    </row>
    <row r="78" spans="1:11" ht="21.75" customHeight="1" x14ac:dyDescent="0.25">
      <c r="A78" s="2">
        <f t="shared" si="5"/>
        <v>2020</v>
      </c>
      <c r="B78" s="2">
        <f t="shared" si="6"/>
        <v>12</v>
      </c>
      <c r="C78" s="2" t="str">
        <f t="shared" si="7"/>
        <v>화</v>
      </c>
      <c r="D78" s="3">
        <v>44187</v>
      </c>
      <c r="E78" s="7">
        <v>172</v>
      </c>
      <c r="F78" s="2" t="s">
        <v>3</v>
      </c>
      <c r="G78" s="2">
        <v>9</v>
      </c>
      <c r="H78" s="7">
        <f t="shared" si="8"/>
        <v>163</v>
      </c>
      <c r="I78" s="2">
        <f>+COUNTIF(F$3:$F78,F78)</f>
        <v>76</v>
      </c>
      <c r="K78" s="132" t="str">
        <f t="shared" si="9"/>
        <v>평일</v>
      </c>
    </row>
    <row r="79" spans="1:11" ht="21.75" customHeight="1" x14ac:dyDescent="0.25">
      <c r="A79" s="2">
        <f t="shared" si="5"/>
        <v>2020</v>
      </c>
      <c r="B79" s="2">
        <f t="shared" si="6"/>
        <v>12</v>
      </c>
      <c r="C79" s="2" t="str">
        <f t="shared" si="7"/>
        <v>수</v>
      </c>
      <c r="D79" s="3">
        <v>44188</v>
      </c>
      <c r="E79" s="7">
        <v>164</v>
      </c>
      <c r="F79" s="2" t="s">
        <v>3</v>
      </c>
      <c r="G79" s="2">
        <v>8</v>
      </c>
      <c r="H79" s="7">
        <f t="shared" si="8"/>
        <v>156</v>
      </c>
      <c r="I79" s="2">
        <f>+COUNTIF(F$3:$F79,F79)</f>
        <v>77</v>
      </c>
      <c r="K79" s="132" t="str">
        <f t="shared" si="9"/>
        <v>평일</v>
      </c>
    </row>
    <row r="80" spans="1:11" ht="21.75" customHeight="1" x14ac:dyDescent="0.25">
      <c r="A80" s="2">
        <f t="shared" si="5"/>
        <v>2020</v>
      </c>
      <c r="B80" s="2">
        <f t="shared" si="6"/>
        <v>12</v>
      </c>
      <c r="C80" s="2" t="str">
        <f t="shared" si="7"/>
        <v>목</v>
      </c>
      <c r="D80" s="3">
        <v>44189</v>
      </c>
      <c r="E80" s="7">
        <v>247</v>
      </c>
      <c r="F80" s="2" t="s">
        <v>3</v>
      </c>
      <c r="G80" s="2">
        <v>8</v>
      </c>
      <c r="H80" s="7">
        <f t="shared" si="8"/>
        <v>239</v>
      </c>
      <c r="I80" s="2">
        <f>+COUNTIF(F$3:$F80,F80)</f>
        <v>78</v>
      </c>
      <c r="K80" s="132" t="str">
        <f t="shared" si="9"/>
        <v>평일</v>
      </c>
    </row>
    <row r="81" spans="1:11" ht="21.75" customHeight="1" x14ac:dyDescent="0.25">
      <c r="A81" s="2">
        <f t="shared" si="5"/>
        <v>2020</v>
      </c>
      <c r="B81" s="2">
        <f t="shared" si="6"/>
        <v>12</v>
      </c>
      <c r="C81" s="2" t="str">
        <f t="shared" si="7"/>
        <v>금</v>
      </c>
      <c r="D81" s="3">
        <v>44190</v>
      </c>
      <c r="E81" s="7">
        <v>415</v>
      </c>
      <c r="F81" s="2" t="s">
        <v>3</v>
      </c>
      <c r="G81" s="2">
        <v>20</v>
      </c>
      <c r="H81" s="7">
        <f t="shared" si="8"/>
        <v>395</v>
      </c>
      <c r="I81" s="2">
        <f>+COUNTIF(F$3:$F81,F81)</f>
        <v>79</v>
      </c>
      <c r="K81" s="132" t="str">
        <f t="shared" si="9"/>
        <v>평일</v>
      </c>
    </row>
    <row r="82" spans="1:11" ht="21.75" customHeight="1" x14ac:dyDescent="0.25">
      <c r="A82" s="2">
        <f t="shared" si="5"/>
        <v>2020</v>
      </c>
      <c r="B82" s="2">
        <f t="shared" si="6"/>
        <v>12</v>
      </c>
      <c r="C82" s="2" t="str">
        <f t="shared" si="7"/>
        <v>토</v>
      </c>
      <c r="D82" s="3">
        <v>44191</v>
      </c>
      <c r="E82" s="7">
        <v>250</v>
      </c>
      <c r="F82" s="2" t="s">
        <v>3</v>
      </c>
      <c r="G82" s="2">
        <v>16</v>
      </c>
      <c r="H82" s="7">
        <f t="shared" si="8"/>
        <v>234</v>
      </c>
      <c r="I82" s="2">
        <f>+COUNTIF(F$3:$F82,F82)</f>
        <v>80</v>
      </c>
      <c r="K82" s="132" t="str">
        <f t="shared" si="9"/>
        <v>주말</v>
      </c>
    </row>
    <row r="83" spans="1:11" ht="21.75" customHeight="1" x14ac:dyDescent="0.25">
      <c r="A83" s="2">
        <f t="shared" si="5"/>
        <v>2020</v>
      </c>
      <c r="B83" s="2">
        <f t="shared" si="6"/>
        <v>12</v>
      </c>
      <c r="C83" s="2" t="str">
        <f t="shared" si="7"/>
        <v>일</v>
      </c>
      <c r="D83" s="3">
        <v>44192</v>
      </c>
      <c r="E83" s="7">
        <v>263</v>
      </c>
      <c r="F83" s="2" t="s">
        <v>3</v>
      </c>
      <c r="G83" s="2">
        <v>20</v>
      </c>
      <c r="H83" s="7">
        <f t="shared" si="8"/>
        <v>243</v>
      </c>
      <c r="I83" s="2">
        <f>+COUNTIF(F$3:$F83,F83)</f>
        <v>81</v>
      </c>
      <c r="K83" s="132" t="str">
        <f t="shared" si="9"/>
        <v>주말</v>
      </c>
    </row>
    <row r="84" spans="1:11" ht="21.75" customHeight="1" x14ac:dyDescent="0.25">
      <c r="A84" s="2">
        <f t="shared" si="5"/>
        <v>2020</v>
      </c>
      <c r="B84" s="2">
        <f t="shared" si="6"/>
        <v>12</v>
      </c>
      <c r="C84" s="2" t="str">
        <f t="shared" si="7"/>
        <v>월</v>
      </c>
      <c r="D84" s="3">
        <v>44193</v>
      </c>
      <c r="E84" s="7">
        <v>219</v>
      </c>
      <c r="F84" s="2" t="s">
        <v>3</v>
      </c>
      <c r="G84" s="2">
        <v>4</v>
      </c>
      <c r="H84" s="7">
        <f t="shared" si="8"/>
        <v>215</v>
      </c>
      <c r="I84" s="2">
        <f>+COUNTIF(F$3:$F84,F84)</f>
        <v>82</v>
      </c>
      <c r="K84" s="132" t="str">
        <f t="shared" si="9"/>
        <v>평일</v>
      </c>
    </row>
    <row r="85" spans="1:11" ht="21.75" customHeight="1" x14ac:dyDescent="0.25">
      <c r="A85" s="2">
        <f t="shared" si="5"/>
        <v>2020</v>
      </c>
      <c r="B85" s="2">
        <f t="shared" si="6"/>
        <v>12</v>
      </c>
      <c r="C85" s="2" t="str">
        <f t="shared" si="7"/>
        <v>화</v>
      </c>
      <c r="D85" s="3">
        <v>44194</v>
      </c>
      <c r="E85" s="7">
        <v>252</v>
      </c>
      <c r="F85" s="2" t="s">
        <v>3</v>
      </c>
      <c r="G85" s="2">
        <v>6</v>
      </c>
      <c r="H85" s="7">
        <f t="shared" si="8"/>
        <v>246</v>
      </c>
      <c r="I85" s="2">
        <f>+COUNTIF(F$3:$F85,F85)</f>
        <v>83</v>
      </c>
      <c r="K85" s="132" t="str">
        <f t="shared" si="9"/>
        <v>평일</v>
      </c>
    </row>
    <row r="86" spans="1:11" ht="21.75" customHeight="1" x14ac:dyDescent="0.25">
      <c r="A86" s="2">
        <f t="shared" si="5"/>
        <v>2020</v>
      </c>
      <c r="B86" s="2">
        <f t="shared" si="6"/>
        <v>12</v>
      </c>
      <c r="C86" s="2" t="str">
        <f t="shared" si="7"/>
        <v>수</v>
      </c>
      <c r="D86" s="3">
        <v>44195</v>
      </c>
      <c r="E86" s="7">
        <v>278</v>
      </c>
      <c r="F86" s="2" t="s">
        <v>3</v>
      </c>
      <c r="G86" s="2">
        <v>15</v>
      </c>
      <c r="H86" s="7">
        <f t="shared" si="8"/>
        <v>263</v>
      </c>
      <c r="I86" s="2">
        <f>+COUNTIF(F$3:$F86,F86)</f>
        <v>84</v>
      </c>
      <c r="K86" s="132" t="str">
        <f t="shared" si="9"/>
        <v>평일</v>
      </c>
    </row>
    <row r="87" spans="1:11" ht="21.75" customHeight="1" x14ac:dyDescent="0.25">
      <c r="A87" s="2">
        <f t="shared" si="5"/>
        <v>2020</v>
      </c>
      <c r="B87" s="2">
        <f t="shared" si="6"/>
        <v>12</v>
      </c>
      <c r="C87" s="2" t="str">
        <f t="shared" si="7"/>
        <v>목</v>
      </c>
      <c r="D87" s="3">
        <v>44196</v>
      </c>
      <c r="E87" s="7">
        <v>293</v>
      </c>
      <c r="F87" s="2" t="s">
        <v>3</v>
      </c>
      <c r="G87" s="2">
        <v>16</v>
      </c>
      <c r="H87" s="7">
        <f t="shared" si="8"/>
        <v>277</v>
      </c>
      <c r="I87" s="2">
        <f>+COUNTIF(F$3:$F87,F87)</f>
        <v>85</v>
      </c>
      <c r="K87" s="132" t="str">
        <f t="shared" si="9"/>
        <v>평일</v>
      </c>
    </row>
    <row r="88" spans="1:11" ht="21.75" customHeight="1" x14ac:dyDescent="0.25">
      <c r="A88" s="2">
        <f t="shared" si="5"/>
        <v>2021</v>
      </c>
      <c r="B88" s="2">
        <f t="shared" si="6"/>
        <v>1</v>
      </c>
      <c r="C88" s="2" t="str">
        <f t="shared" si="7"/>
        <v>금</v>
      </c>
      <c r="D88" s="3">
        <v>44197</v>
      </c>
      <c r="E88" s="7">
        <v>0</v>
      </c>
      <c r="F88" s="2" t="s">
        <v>3</v>
      </c>
      <c r="G88" s="2">
        <v>0</v>
      </c>
      <c r="H88" s="7">
        <f t="shared" si="8"/>
        <v>0</v>
      </c>
      <c r="I88" s="2">
        <f>+COUNTIF(F$3:$F88,F88)</f>
        <v>86</v>
      </c>
      <c r="K88" s="132" t="str">
        <f t="shared" si="9"/>
        <v>평일</v>
      </c>
    </row>
    <row r="89" spans="1:11" ht="21.75" customHeight="1" x14ac:dyDescent="0.25">
      <c r="A89" s="2">
        <f t="shared" si="5"/>
        <v>2021</v>
      </c>
      <c r="B89" s="2">
        <f t="shared" si="6"/>
        <v>1</v>
      </c>
      <c r="C89" s="2" t="str">
        <f t="shared" si="7"/>
        <v>토</v>
      </c>
      <c r="D89" s="3">
        <v>44198</v>
      </c>
      <c r="E89" s="7">
        <v>563</v>
      </c>
      <c r="F89" s="2" t="s">
        <v>3</v>
      </c>
      <c r="G89" s="2">
        <v>49</v>
      </c>
      <c r="H89" s="7">
        <f t="shared" si="8"/>
        <v>514</v>
      </c>
      <c r="I89" s="2">
        <f>+COUNTIF(F$3:$F89,F89)</f>
        <v>87</v>
      </c>
      <c r="K89" s="132" t="str">
        <f t="shared" si="9"/>
        <v>주말</v>
      </c>
    </row>
    <row r="90" spans="1:11" ht="21.75" customHeight="1" x14ac:dyDescent="0.25">
      <c r="A90" s="2">
        <f t="shared" si="5"/>
        <v>2021</v>
      </c>
      <c r="B90" s="2">
        <f t="shared" si="6"/>
        <v>1</v>
      </c>
      <c r="C90" s="2" t="str">
        <f t="shared" si="7"/>
        <v>일</v>
      </c>
      <c r="D90" s="3">
        <v>44199</v>
      </c>
      <c r="E90" s="7">
        <v>427</v>
      </c>
      <c r="F90" s="2" t="s">
        <v>3</v>
      </c>
      <c r="G90" s="2">
        <v>23</v>
      </c>
      <c r="H90" s="7">
        <f t="shared" si="8"/>
        <v>404</v>
      </c>
      <c r="I90" s="2">
        <f>+COUNTIF(F$3:$F90,F90)</f>
        <v>88</v>
      </c>
      <c r="K90" s="132" t="str">
        <f t="shared" si="9"/>
        <v>주말</v>
      </c>
    </row>
    <row r="91" spans="1:11" ht="21.75" customHeight="1" x14ac:dyDescent="0.25">
      <c r="A91" s="2">
        <f t="shared" si="5"/>
        <v>2021</v>
      </c>
      <c r="B91" s="2">
        <f t="shared" si="6"/>
        <v>1</v>
      </c>
      <c r="C91" s="2" t="str">
        <f t="shared" si="7"/>
        <v>월</v>
      </c>
      <c r="D91" s="3">
        <v>44200</v>
      </c>
      <c r="E91" s="7">
        <v>158</v>
      </c>
      <c r="F91" s="2" t="s">
        <v>3</v>
      </c>
      <c r="G91" s="2">
        <v>10</v>
      </c>
      <c r="H91" s="7">
        <f t="shared" si="8"/>
        <v>148</v>
      </c>
      <c r="I91" s="2">
        <f>+COUNTIF(F$3:$F91,F91)</f>
        <v>89</v>
      </c>
      <c r="K91" s="132" t="str">
        <f t="shared" si="9"/>
        <v>평일</v>
      </c>
    </row>
    <row r="92" spans="1:11" ht="21.75" customHeight="1" x14ac:dyDescent="0.25">
      <c r="A92" s="2">
        <f t="shared" si="5"/>
        <v>2021</v>
      </c>
      <c r="B92" s="2">
        <f t="shared" si="6"/>
        <v>1</v>
      </c>
      <c r="C92" s="2" t="str">
        <f t="shared" si="7"/>
        <v>화</v>
      </c>
      <c r="D92" s="3">
        <v>44201</v>
      </c>
      <c r="E92" s="7">
        <v>176</v>
      </c>
      <c r="F92" s="2" t="s">
        <v>3</v>
      </c>
      <c r="G92" s="2">
        <v>11</v>
      </c>
      <c r="H92" s="7">
        <f t="shared" si="8"/>
        <v>165</v>
      </c>
      <c r="I92" s="2">
        <f>+COUNTIF(F$3:$F92,F92)</f>
        <v>90</v>
      </c>
      <c r="K92" s="132" t="str">
        <f t="shared" si="9"/>
        <v>평일</v>
      </c>
    </row>
    <row r="93" spans="1:11" ht="21.75" customHeight="1" x14ac:dyDescent="0.25">
      <c r="A93" s="2">
        <f t="shared" si="5"/>
        <v>2021</v>
      </c>
      <c r="B93" s="2">
        <f t="shared" si="6"/>
        <v>1</v>
      </c>
      <c r="C93" s="2" t="str">
        <f t="shared" si="7"/>
        <v>수</v>
      </c>
      <c r="D93" s="3">
        <v>44202</v>
      </c>
      <c r="E93" s="7">
        <v>178</v>
      </c>
      <c r="F93" s="2" t="s">
        <v>3</v>
      </c>
      <c r="G93" s="2">
        <v>14</v>
      </c>
      <c r="H93" s="7">
        <f t="shared" si="8"/>
        <v>164</v>
      </c>
      <c r="I93" s="2">
        <f>+COUNTIF(F$3:$F93,F93)</f>
        <v>91</v>
      </c>
      <c r="K93" s="132" t="str">
        <f t="shared" si="9"/>
        <v>평일</v>
      </c>
    </row>
    <row r="94" spans="1:11" ht="21.75" customHeight="1" x14ac:dyDescent="0.25">
      <c r="A94" s="2">
        <f t="shared" si="5"/>
        <v>2021</v>
      </c>
      <c r="B94" s="2">
        <f t="shared" si="6"/>
        <v>1</v>
      </c>
      <c r="C94" s="2" t="str">
        <f t="shared" si="7"/>
        <v>목</v>
      </c>
      <c r="D94" s="3">
        <v>44203</v>
      </c>
      <c r="E94" s="7">
        <v>169</v>
      </c>
      <c r="F94" s="2" t="s">
        <v>3</v>
      </c>
      <c r="G94" s="2">
        <v>17</v>
      </c>
      <c r="H94" s="7">
        <f t="shared" si="8"/>
        <v>152</v>
      </c>
      <c r="I94" s="2">
        <f>+COUNTIF(F$3:$F94,F94)</f>
        <v>92</v>
      </c>
      <c r="K94" s="132" t="str">
        <f t="shared" si="9"/>
        <v>평일</v>
      </c>
    </row>
    <row r="95" spans="1:11" ht="21.75" customHeight="1" x14ac:dyDescent="0.25">
      <c r="A95" s="2">
        <f t="shared" si="5"/>
        <v>2021</v>
      </c>
      <c r="B95" s="2">
        <f t="shared" si="6"/>
        <v>1</v>
      </c>
      <c r="C95" s="2" t="str">
        <f t="shared" si="7"/>
        <v>금</v>
      </c>
      <c r="D95" s="3">
        <v>44204</v>
      </c>
      <c r="E95" s="7">
        <v>220</v>
      </c>
      <c r="F95" s="2" t="s">
        <v>3</v>
      </c>
      <c r="G95" s="2">
        <v>17</v>
      </c>
      <c r="H95" s="7">
        <f t="shared" si="8"/>
        <v>203</v>
      </c>
      <c r="I95" s="2">
        <f>+COUNTIF(F$3:$F95,F95)</f>
        <v>93</v>
      </c>
      <c r="K95" s="132" t="str">
        <f t="shared" si="9"/>
        <v>평일</v>
      </c>
    </row>
    <row r="96" spans="1:11" ht="21.75" customHeight="1" x14ac:dyDescent="0.25">
      <c r="A96" s="2">
        <f t="shared" si="5"/>
        <v>2021</v>
      </c>
      <c r="B96" s="2">
        <f t="shared" si="6"/>
        <v>1</v>
      </c>
      <c r="C96" s="2" t="str">
        <f t="shared" si="7"/>
        <v>토</v>
      </c>
      <c r="D96" s="3">
        <v>44205</v>
      </c>
      <c r="E96" s="7">
        <v>676</v>
      </c>
      <c r="F96" s="2" t="s">
        <v>3</v>
      </c>
      <c r="G96" s="2">
        <v>38</v>
      </c>
      <c r="H96" s="7">
        <f t="shared" si="8"/>
        <v>638</v>
      </c>
      <c r="I96" s="2">
        <f>+COUNTIF(F$3:$F96,F96)</f>
        <v>94</v>
      </c>
      <c r="K96" s="132" t="str">
        <f t="shared" si="9"/>
        <v>주말</v>
      </c>
    </row>
    <row r="97" spans="1:11" ht="21.75" customHeight="1" x14ac:dyDescent="0.25">
      <c r="A97" s="2">
        <f t="shared" si="5"/>
        <v>2021</v>
      </c>
      <c r="B97" s="2">
        <f t="shared" si="6"/>
        <v>1</v>
      </c>
      <c r="C97" s="2" t="str">
        <f t="shared" si="7"/>
        <v>일</v>
      </c>
      <c r="D97" s="3">
        <v>44206</v>
      </c>
      <c r="E97" s="7">
        <v>588</v>
      </c>
      <c r="F97" s="2" t="s">
        <v>3</v>
      </c>
      <c r="G97" s="2">
        <v>33</v>
      </c>
      <c r="H97" s="7">
        <f t="shared" si="8"/>
        <v>555</v>
      </c>
      <c r="I97" s="2">
        <f>+COUNTIF(F$3:$F97,F97)</f>
        <v>95</v>
      </c>
      <c r="K97" s="132" t="str">
        <f t="shared" si="9"/>
        <v>주말</v>
      </c>
    </row>
    <row r="98" spans="1:11" ht="21.75" customHeight="1" x14ac:dyDescent="0.25">
      <c r="A98" s="2">
        <f t="shared" si="5"/>
        <v>2021</v>
      </c>
      <c r="B98" s="2">
        <f t="shared" si="6"/>
        <v>1</v>
      </c>
      <c r="C98" s="2" t="str">
        <f t="shared" si="7"/>
        <v>월</v>
      </c>
      <c r="D98" s="3">
        <v>44207</v>
      </c>
      <c r="E98" s="7">
        <v>268</v>
      </c>
      <c r="F98" s="2" t="s">
        <v>3</v>
      </c>
      <c r="G98" s="2">
        <v>11</v>
      </c>
      <c r="H98" s="7">
        <f t="shared" si="8"/>
        <v>257</v>
      </c>
      <c r="I98" s="2">
        <f>+COUNTIF(F$3:$F98,F98)</f>
        <v>96</v>
      </c>
      <c r="K98" s="132" t="str">
        <f t="shared" si="9"/>
        <v>평일</v>
      </c>
    </row>
    <row r="99" spans="1:11" ht="21.75" customHeight="1" x14ac:dyDescent="0.25">
      <c r="A99" s="2">
        <f t="shared" si="5"/>
        <v>2021</v>
      </c>
      <c r="B99" s="2">
        <f t="shared" si="6"/>
        <v>1</v>
      </c>
      <c r="C99" s="2" t="str">
        <f t="shared" si="7"/>
        <v>화</v>
      </c>
      <c r="D99" s="3">
        <v>44208</v>
      </c>
      <c r="E99" s="7">
        <v>300</v>
      </c>
      <c r="F99" s="2" t="s">
        <v>3</v>
      </c>
      <c r="G99" s="2">
        <v>4</v>
      </c>
      <c r="H99" s="7">
        <f t="shared" si="8"/>
        <v>296</v>
      </c>
      <c r="I99" s="2">
        <f>+COUNTIF(F$3:$F99,F99)</f>
        <v>97</v>
      </c>
      <c r="K99" s="132" t="str">
        <f t="shared" si="9"/>
        <v>평일</v>
      </c>
    </row>
    <row r="100" spans="1:11" ht="21.75" customHeight="1" x14ac:dyDescent="0.25">
      <c r="A100" s="2">
        <f t="shared" si="5"/>
        <v>2021</v>
      </c>
      <c r="B100" s="2">
        <f t="shared" si="6"/>
        <v>1</v>
      </c>
      <c r="C100" s="2" t="str">
        <f t="shared" si="7"/>
        <v>수</v>
      </c>
      <c r="D100" s="3">
        <v>44209</v>
      </c>
      <c r="E100" s="7">
        <v>289</v>
      </c>
      <c r="F100" s="2" t="s">
        <v>3</v>
      </c>
      <c r="G100" s="2">
        <v>28</v>
      </c>
      <c r="H100" s="7">
        <f t="shared" si="8"/>
        <v>261</v>
      </c>
      <c r="I100" s="2">
        <f>+COUNTIF(F$3:$F100,F100)</f>
        <v>98</v>
      </c>
      <c r="K100" s="132" t="str">
        <f t="shared" si="9"/>
        <v>평일</v>
      </c>
    </row>
    <row r="101" spans="1:11" ht="21.75" customHeight="1" x14ac:dyDescent="0.25">
      <c r="A101" s="2">
        <f t="shared" si="5"/>
        <v>2021</v>
      </c>
      <c r="B101" s="2">
        <f t="shared" si="6"/>
        <v>1</v>
      </c>
      <c r="C101" s="2" t="str">
        <f t="shared" si="7"/>
        <v>목</v>
      </c>
      <c r="D101" s="3">
        <v>44210</v>
      </c>
      <c r="E101" s="7">
        <v>409</v>
      </c>
      <c r="F101" s="2" t="s">
        <v>3</v>
      </c>
      <c r="G101" s="2">
        <v>25</v>
      </c>
      <c r="H101" s="7">
        <f t="shared" si="8"/>
        <v>384</v>
      </c>
      <c r="I101" s="2">
        <f>+COUNTIF(F$3:$F101,F101)</f>
        <v>99</v>
      </c>
      <c r="K101" s="132" t="str">
        <f t="shared" si="9"/>
        <v>평일</v>
      </c>
    </row>
    <row r="102" spans="1:11" ht="21.75" customHeight="1" x14ac:dyDescent="0.25">
      <c r="A102" s="2">
        <f t="shared" si="5"/>
        <v>2021</v>
      </c>
      <c r="B102" s="2">
        <f t="shared" si="6"/>
        <v>1</v>
      </c>
      <c r="C102" s="2" t="str">
        <f t="shared" si="7"/>
        <v>금</v>
      </c>
      <c r="D102" s="3">
        <v>44211</v>
      </c>
      <c r="E102" s="7">
        <v>399</v>
      </c>
      <c r="F102" s="2" t="s">
        <v>3</v>
      </c>
      <c r="G102" s="2">
        <v>26</v>
      </c>
      <c r="H102" s="7">
        <f t="shared" si="8"/>
        <v>373</v>
      </c>
      <c r="I102" s="2">
        <f>+COUNTIF(F$3:$F102,F102)</f>
        <v>100</v>
      </c>
      <c r="K102" s="132" t="str">
        <f t="shared" si="9"/>
        <v>평일</v>
      </c>
    </row>
    <row r="103" spans="1:11" ht="21.75" customHeight="1" x14ac:dyDescent="0.25">
      <c r="A103" s="2">
        <f t="shared" si="5"/>
        <v>2021</v>
      </c>
      <c r="B103" s="2">
        <f t="shared" si="6"/>
        <v>1</v>
      </c>
      <c r="C103" s="2" t="str">
        <f t="shared" si="7"/>
        <v>토</v>
      </c>
      <c r="D103" s="3">
        <v>44212</v>
      </c>
      <c r="E103" s="7">
        <v>1151</v>
      </c>
      <c r="F103" s="2" t="s">
        <v>3</v>
      </c>
      <c r="G103" s="2">
        <v>82</v>
      </c>
      <c r="H103" s="7">
        <f t="shared" si="8"/>
        <v>1069</v>
      </c>
      <c r="I103" s="2">
        <f>+COUNTIF(F$3:$F103,F103)</f>
        <v>101</v>
      </c>
      <c r="K103" s="132" t="str">
        <f t="shared" si="9"/>
        <v>주말</v>
      </c>
    </row>
    <row r="104" spans="1:11" ht="21.75" customHeight="1" x14ac:dyDescent="0.25">
      <c r="A104" s="2">
        <f t="shared" si="5"/>
        <v>2021</v>
      </c>
      <c r="B104" s="2">
        <f t="shared" si="6"/>
        <v>1</v>
      </c>
      <c r="C104" s="2" t="str">
        <f t="shared" si="7"/>
        <v>일</v>
      </c>
      <c r="D104" s="3">
        <v>44213</v>
      </c>
      <c r="E104" s="7">
        <v>834</v>
      </c>
      <c r="F104" s="2" t="s">
        <v>3</v>
      </c>
      <c r="G104" s="2">
        <v>63</v>
      </c>
      <c r="H104" s="7">
        <f t="shared" si="8"/>
        <v>771</v>
      </c>
      <c r="I104" s="2">
        <f>+COUNTIF(F$3:$F104,F104)</f>
        <v>102</v>
      </c>
      <c r="K104" s="132" t="str">
        <f t="shared" si="9"/>
        <v>주말</v>
      </c>
    </row>
    <row r="105" spans="1:11" ht="21.75" customHeight="1" x14ac:dyDescent="0.25">
      <c r="A105" s="2">
        <f t="shared" si="5"/>
        <v>2021</v>
      </c>
      <c r="B105" s="2">
        <f t="shared" si="6"/>
        <v>1</v>
      </c>
      <c r="C105" s="2" t="str">
        <f t="shared" si="7"/>
        <v>월</v>
      </c>
      <c r="D105" s="3">
        <v>44214</v>
      </c>
      <c r="E105" s="7">
        <v>293</v>
      </c>
      <c r="F105" s="2" t="s">
        <v>3</v>
      </c>
      <c r="G105" s="2">
        <v>5</v>
      </c>
      <c r="H105" s="7">
        <f t="shared" si="8"/>
        <v>288</v>
      </c>
      <c r="I105" s="2">
        <f>+COUNTIF(F$3:$F105,F105)</f>
        <v>103</v>
      </c>
      <c r="K105" s="132" t="str">
        <f t="shared" si="9"/>
        <v>평일</v>
      </c>
    </row>
    <row r="106" spans="1:11" ht="21.75" customHeight="1" x14ac:dyDescent="0.25">
      <c r="A106" s="2">
        <f t="shared" si="5"/>
        <v>2021</v>
      </c>
      <c r="B106" s="2">
        <f t="shared" si="6"/>
        <v>1</v>
      </c>
      <c r="C106" s="2" t="str">
        <f t="shared" si="7"/>
        <v>화</v>
      </c>
      <c r="D106" s="3">
        <v>44215</v>
      </c>
      <c r="E106" s="7">
        <v>420</v>
      </c>
      <c r="F106" s="2" t="s">
        <v>3</v>
      </c>
      <c r="G106" s="2">
        <v>26</v>
      </c>
      <c r="H106" s="7">
        <f t="shared" si="8"/>
        <v>394</v>
      </c>
      <c r="I106" s="2">
        <f>+COUNTIF(F$3:$F106,F106)</f>
        <v>104</v>
      </c>
      <c r="K106" s="132" t="str">
        <f t="shared" si="9"/>
        <v>평일</v>
      </c>
    </row>
    <row r="107" spans="1:11" ht="21.75" customHeight="1" x14ac:dyDescent="0.25">
      <c r="A107" s="2">
        <f t="shared" si="5"/>
        <v>2021</v>
      </c>
      <c r="B107" s="2">
        <f t="shared" si="6"/>
        <v>1</v>
      </c>
      <c r="C107" s="2" t="str">
        <f t="shared" si="7"/>
        <v>수</v>
      </c>
      <c r="D107" s="3">
        <v>44216</v>
      </c>
      <c r="E107" s="7">
        <v>527</v>
      </c>
      <c r="F107" s="2" t="s">
        <v>3</v>
      </c>
      <c r="G107" s="2">
        <v>24</v>
      </c>
      <c r="H107" s="7">
        <f t="shared" si="8"/>
        <v>503</v>
      </c>
      <c r="I107" s="2">
        <f>+COUNTIF(F$3:$F107,F107)</f>
        <v>105</v>
      </c>
      <c r="K107" s="132" t="str">
        <f t="shared" si="9"/>
        <v>평일</v>
      </c>
    </row>
    <row r="108" spans="1:11" ht="21.75" customHeight="1" x14ac:dyDescent="0.25">
      <c r="A108" s="2">
        <f t="shared" si="5"/>
        <v>2021</v>
      </c>
      <c r="B108" s="2">
        <f t="shared" si="6"/>
        <v>1</v>
      </c>
      <c r="C108" s="2" t="str">
        <f t="shared" si="7"/>
        <v>목</v>
      </c>
      <c r="D108" s="3">
        <v>44217</v>
      </c>
      <c r="E108" s="7">
        <v>473</v>
      </c>
      <c r="F108" s="2" t="s">
        <v>3</v>
      </c>
      <c r="G108" s="2">
        <v>37</v>
      </c>
      <c r="H108" s="7">
        <f t="shared" si="8"/>
        <v>436</v>
      </c>
      <c r="I108" s="2">
        <f>+COUNTIF(F$3:$F108,F108)</f>
        <v>106</v>
      </c>
      <c r="K108" s="132" t="str">
        <f t="shared" si="9"/>
        <v>평일</v>
      </c>
    </row>
    <row r="109" spans="1:11" ht="21.75" customHeight="1" x14ac:dyDescent="0.25">
      <c r="A109" s="2">
        <f t="shared" si="5"/>
        <v>2021</v>
      </c>
      <c r="B109" s="2">
        <f t="shared" si="6"/>
        <v>1</v>
      </c>
      <c r="C109" s="2" t="str">
        <f t="shared" si="7"/>
        <v>금</v>
      </c>
      <c r="D109" s="3">
        <v>44218</v>
      </c>
      <c r="E109" s="7">
        <v>712</v>
      </c>
      <c r="F109" s="2" t="s">
        <v>3</v>
      </c>
      <c r="G109" s="2">
        <v>51</v>
      </c>
      <c r="H109" s="7">
        <f t="shared" si="8"/>
        <v>661</v>
      </c>
      <c r="I109" s="2">
        <f>+COUNTIF(F$3:$F109,F109)</f>
        <v>107</v>
      </c>
      <c r="K109" s="132" t="str">
        <f t="shared" si="9"/>
        <v>평일</v>
      </c>
    </row>
    <row r="110" spans="1:11" ht="21.75" customHeight="1" x14ac:dyDescent="0.25">
      <c r="A110" s="2">
        <f t="shared" si="5"/>
        <v>2021</v>
      </c>
      <c r="B110" s="2">
        <f t="shared" si="6"/>
        <v>1</v>
      </c>
      <c r="C110" s="2" t="str">
        <f t="shared" si="7"/>
        <v>토</v>
      </c>
      <c r="D110" s="3">
        <v>44219</v>
      </c>
      <c r="E110" s="7">
        <v>1369</v>
      </c>
      <c r="F110" s="2" t="s">
        <v>3</v>
      </c>
      <c r="G110" s="2">
        <v>113</v>
      </c>
      <c r="H110" s="7">
        <f t="shared" si="8"/>
        <v>1256</v>
      </c>
      <c r="I110" s="2">
        <f>+COUNTIF(F$3:$F110,F110)</f>
        <v>108</v>
      </c>
      <c r="K110" s="132" t="str">
        <f t="shared" si="9"/>
        <v>주말</v>
      </c>
    </row>
    <row r="111" spans="1:11" ht="21.75" customHeight="1" x14ac:dyDescent="0.25">
      <c r="A111" s="2">
        <f t="shared" si="5"/>
        <v>2021</v>
      </c>
      <c r="B111" s="2">
        <f t="shared" si="6"/>
        <v>1</v>
      </c>
      <c r="C111" s="2" t="str">
        <f t="shared" si="7"/>
        <v>일</v>
      </c>
      <c r="D111" s="3">
        <v>44220</v>
      </c>
      <c r="E111" s="7">
        <v>1223</v>
      </c>
      <c r="F111" s="2" t="s">
        <v>3</v>
      </c>
      <c r="G111" s="2">
        <v>127</v>
      </c>
      <c r="H111" s="7">
        <f t="shared" si="8"/>
        <v>1096</v>
      </c>
      <c r="I111" s="2">
        <f>+COUNTIF(F$3:$F111,F111)</f>
        <v>109</v>
      </c>
      <c r="K111" s="132" t="str">
        <f t="shared" si="9"/>
        <v>주말</v>
      </c>
    </row>
    <row r="112" spans="1:11" ht="21.75" customHeight="1" x14ac:dyDescent="0.25">
      <c r="A112" s="2">
        <f t="shared" si="5"/>
        <v>2021</v>
      </c>
      <c r="B112" s="2">
        <f t="shared" si="6"/>
        <v>1</v>
      </c>
      <c r="C112" s="2" t="str">
        <f t="shared" si="7"/>
        <v>월</v>
      </c>
      <c r="D112" s="3">
        <v>44221</v>
      </c>
      <c r="E112" s="7">
        <v>751</v>
      </c>
      <c r="F112" s="2" t="s">
        <v>3</v>
      </c>
      <c r="G112" s="2">
        <v>35</v>
      </c>
      <c r="H112" s="7">
        <f t="shared" si="8"/>
        <v>716</v>
      </c>
      <c r="I112" s="2">
        <f>+COUNTIF(F$3:$F112,F112)</f>
        <v>110</v>
      </c>
      <c r="K112" s="132" t="str">
        <f t="shared" si="9"/>
        <v>평일</v>
      </c>
    </row>
    <row r="113" spans="1:11" ht="21.75" customHeight="1" x14ac:dyDescent="0.25">
      <c r="A113" s="2">
        <f t="shared" si="5"/>
        <v>2021</v>
      </c>
      <c r="B113" s="2">
        <f t="shared" si="6"/>
        <v>1</v>
      </c>
      <c r="C113" s="2" t="str">
        <f t="shared" si="7"/>
        <v>화</v>
      </c>
      <c r="D113" s="3">
        <v>44222</v>
      </c>
      <c r="E113" s="7">
        <v>690</v>
      </c>
      <c r="F113" s="2" t="s">
        <v>3</v>
      </c>
      <c r="G113" s="2">
        <v>29</v>
      </c>
      <c r="H113" s="7">
        <f t="shared" si="8"/>
        <v>661</v>
      </c>
      <c r="I113" s="2">
        <f>+COUNTIF(F$3:$F113,F113)</f>
        <v>111</v>
      </c>
      <c r="K113" s="132" t="str">
        <f t="shared" si="9"/>
        <v>평일</v>
      </c>
    </row>
    <row r="114" spans="1:11" ht="21.75" customHeight="1" x14ac:dyDescent="0.25">
      <c r="A114" s="2">
        <f t="shared" si="5"/>
        <v>2021</v>
      </c>
      <c r="B114" s="2">
        <f t="shared" si="6"/>
        <v>1</v>
      </c>
      <c r="C114" s="2" t="str">
        <f t="shared" si="7"/>
        <v>수</v>
      </c>
      <c r="D114" s="3">
        <v>44223</v>
      </c>
      <c r="E114" s="7">
        <v>960</v>
      </c>
      <c r="F114" s="2" t="s">
        <v>3</v>
      </c>
      <c r="G114" s="2">
        <v>95</v>
      </c>
      <c r="H114" s="7">
        <f t="shared" si="8"/>
        <v>865</v>
      </c>
      <c r="I114" s="2">
        <f>+COUNTIF(F$3:$F114,F114)</f>
        <v>112</v>
      </c>
      <c r="K114" s="132" t="str">
        <f t="shared" si="9"/>
        <v>평일</v>
      </c>
    </row>
    <row r="115" spans="1:11" ht="21.75" customHeight="1" x14ac:dyDescent="0.25">
      <c r="A115" s="2">
        <f t="shared" si="5"/>
        <v>2021</v>
      </c>
      <c r="B115" s="2">
        <f t="shared" si="6"/>
        <v>1</v>
      </c>
      <c r="C115" s="2" t="str">
        <f t="shared" si="7"/>
        <v>목</v>
      </c>
      <c r="D115" s="3">
        <v>44224</v>
      </c>
      <c r="E115" s="7">
        <v>637</v>
      </c>
      <c r="F115" s="2" t="s">
        <v>3</v>
      </c>
      <c r="G115" s="2">
        <v>27</v>
      </c>
      <c r="H115" s="7">
        <f t="shared" si="8"/>
        <v>610</v>
      </c>
      <c r="I115" s="2">
        <f>+COUNTIF(F$3:$F115,F115)</f>
        <v>113</v>
      </c>
      <c r="K115" s="132" t="str">
        <f t="shared" si="9"/>
        <v>평일</v>
      </c>
    </row>
    <row r="116" spans="1:11" ht="21.75" customHeight="1" x14ac:dyDescent="0.25">
      <c r="A116" s="2">
        <f t="shared" si="5"/>
        <v>2021</v>
      </c>
      <c r="B116" s="2">
        <f t="shared" si="6"/>
        <v>1</v>
      </c>
      <c r="C116" s="2" t="str">
        <f t="shared" si="7"/>
        <v>금</v>
      </c>
      <c r="D116" s="3">
        <v>44225</v>
      </c>
      <c r="E116" s="7">
        <v>965</v>
      </c>
      <c r="F116" s="2" t="s">
        <v>3</v>
      </c>
      <c r="G116" s="2">
        <v>80</v>
      </c>
      <c r="H116" s="7">
        <f t="shared" si="8"/>
        <v>885</v>
      </c>
      <c r="I116" s="2">
        <f>+COUNTIF(F$3:$F116,F116)</f>
        <v>114</v>
      </c>
      <c r="K116" s="132" t="str">
        <f t="shared" si="9"/>
        <v>평일</v>
      </c>
    </row>
    <row r="117" spans="1:11" ht="21.75" customHeight="1" x14ac:dyDescent="0.25">
      <c r="A117" s="2">
        <f t="shared" si="5"/>
        <v>2021</v>
      </c>
      <c r="B117" s="2">
        <f t="shared" si="6"/>
        <v>1</v>
      </c>
      <c r="C117" s="2" t="str">
        <f t="shared" si="7"/>
        <v>토</v>
      </c>
      <c r="D117" s="3">
        <v>44226</v>
      </c>
      <c r="E117" s="7">
        <v>1879</v>
      </c>
      <c r="F117" s="2" t="s">
        <v>3</v>
      </c>
      <c r="G117" s="2">
        <v>214</v>
      </c>
      <c r="H117" s="7">
        <f t="shared" si="8"/>
        <v>1665</v>
      </c>
      <c r="I117" s="2">
        <f>+COUNTIF(F$3:$F117,F117)</f>
        <v>115</v>
      </c>
      <c r="K117" s="132" t="str">
        <f t="shared" si="9"/>
        <v>주말</v>
      </c>
    </row>
    <row r="118" spans="1:11" ht="21.75" customHeight="1" x14ac:dyDescent="0.25">
      <c r="A118" s="2">
        <f t="shared" si="5"/>
        <v>2021</v>
      </c>
      <c r="B118" s="2">
        <f t="shared" si="6"/>
        <v>1</v>
      </c>
      <c r="C118" s="2" t="str">
        <f t="shared" si="7"/>
        <v>일</v>
      </c>
      <c r="D118" s="3">
        <v>44227</v>
      </c>
      <c r="E118" s="7">
        <v>1832</v>
      </c>
      <c r="F118" s="2" t="s">
        <v>3</v>
      </c>
      <c r="G118" s="2">
        <v>198</v>
      </c>
      <c r="H118" s="7">
        <f t="shared" si="8"/>
        <v>1634</v>
      </c>
      <c r="I118" s="2">
        <f>+COUNTIF(F$3:$F118,F118)</f>
        <v>116</v>
      </c>
      <c r="K118" s="132" t="str">
        <f t="shared" si="9"/>
        <v>주말</v>
      </c>
    </row>
    <row r="119" spans="1:11" ht="21.75" customHeight="1" x14ac:dyDescent="0.25">
      <c r="A119" s="2">
        <f t="shared" si="5"/>
        <v>2021</v>
      </c>
      <c r="B119" s="2">
        <f t="shared" si="6"/>
        <v>2</v>
      </c>
      <c r="C119" s="2" t="str">
        <f t="shared" si="7"/>
        <v>월</v>
      </c>
      <c r="D119" s="3">
        <v>44228</v>
      </c>
      <c r="E119" s="7">
        <v>1042</v>
      </c>
      <c r="F119" s="2" t="s">
        <v>3</v>
      </c>
      <c r="G119" s="2">
        <v>70</v>
      </c>
      <c r="H119" s="7">
        <f t="shared" si="8"/>
        <v>972</v>
      </c>
      <c r="I119" s="2">
        <f>+COUNTIF(F$3:$F119,F119)</f>
        <v>117</v>
      </c>
      <c r="K119" s="132" t="str">
        <f t="shared" si="9"/>
        <v>평일</v>
      </c>
    </row>
    <row r="120" spans="1:11" ht="21.75" customHeight="1" x14ac:dyDescent="0.25">
      <c r="A120" s="2">
        <f t="shared" si="5"/>
        <v>2021</v>
      </c>
      <c r="B120" s="2">
        <f t="shared" si="6"/>
        <v>2</v>
      </c>
      <c r="C120" s="2" t="str">
        <f t="shared" si="7"/>
        <v>화</v>
      </c>
      <c r="D120" s="3">
        <v>44229</v>
      </c>
      <c r="E120" s="7">
        <v>1091</v>
      </c>
      <c r="F120" s="2" t="s">
        <v>3</v>
      </c>
      <c r="G120" s="2">
        <v>95</v>
      </c>
      <c r="H120" s="7">
        <f t="shared" si="8"/>
        <v>996</v>
      </c>
      <c r="I120" s="2">
        <f>+COUNTIF(F$3:$F120,F120)</f>
        <v>118</v>
      </c>
      <c r="K120" s="132" t="str">
        <f t="shared" si="9"/>
        <v>평일</v>
      </c>
    </row>
    <row r="121" spans="1:11" ht="21.75" customHeight="1" x14ac:dyDescent="0.25">
      <c r="A121" s="2">
        <f t="shared" si="5"/>
        <v>2021</v>
      </c>
      <c r="B121" s="2">
        <f t="shared" si="6"/>
        <v>2</v>
      </c>
      <c r="C121" s="2" t="str">
        <f t="shared" si="7"/>
        <v>수</v>
      </c>
      <c r="D121" s="3">
        <v>44230</v>
      </c>
      <c r="E121" s="7">
        <v>1156</v>
      </c>
      <c r="F121" s="2" t="s">
        <v>3</v>
      </c>
      <c r="G121" s="2">
        <v>113</v>
      </c>
      <c r="H121" s="7">
        <f t="shared" si="8"/>
        <v>1043</v>
      </c>
      <c r="I121" s="2">
        <f>+COUNTIF(F$3:$F121,F121)</f>
        <v>119</v>
      </c>
      <c r="K121" s="132" t="str">
        <f t="shared" si="9"/>
        <v>평일</v>
      </c>
    </row>
    <row r="122" spans="1:11" ht="21.75" customHeight="1" x14ac:dyDescent="0.25">
      <c r="A122" s="2">
        <f t="shared" si="5"/>
        <v>2021</v>
      </c>
      <c r="B122" s="2">
        <f t="shared" si="6"/>
        <v>2</v>
      </c>
      <c r="C122" s="2" t="str">
        <f t="shared" si="7"/>
        <v>목</v>
      </c>
      <c r="D122" s="3">
        <v>44231</v>
      </c>
      <c r="E122" s="7">
        <v>1170</v>
      </c>
      <c r="F122" s="2" t="s">
        <v>3</v>
      </c>
      <c r="G122" s="2">
        <v>109</v>
      </c>
      <c r="H122" s="7">
        <f t="shared" si="8"/>
        <v>1061</v>
      </c>
      <c r="I122" s="2">
        <f>+COUNTIF(F$3:$F122,F122)</f>
        <v>120</v>
      </c>
      <c r="K122" s="132" t="str">
        <f t="shared" si="9"/>
        <v>평일</v>
      </c>
    </row>
    <row r="123" spans="1:11" ht="21.75" customHeight="1" x14ac:dyDescent="0.25">
      <c r="A123" s="2">
        <f t="shared" si="5"/>
        <v>2021</v>
      </c>
      <c r="B123" s="2">
        <f t="shared" si="6"/>
        <v>2</v>
      </c>
      <c r="C123" s="2" t="str">
        <f t="shared" si="7"/>
        <v>금</v>
      </c>
      <c r="D123" s="3">
        <v>44232</v>
      </c>
      <c r="E123" s="7">
        <v>1393</v>
      </c>
      <c r="F123" s="2" t="s">
        <v>3</v>
      </c>
      <c r="G123" s="2">
        <v>179</v>
      </c>
      <c r="H123" s="7">
        <f t="shared" si="8"/>
        <v>1214</v>
      </c>
      <c r="I123" s="2">
        <f>+COUNTIF(F$3:$F123,F123)</f>
        <v>121</v>
      </c>
      <c r="K123" s="132" t="str">
        <f t="shared" si="9"/>
        <v>평일</v>
      </c>
    </row>
    <row r="124" spans="1:11" ht="21.75" customHeight="1" x14ac:dyDescent="0.25">
      <c r="A124" s="2">
        <f t="shared" si="5"/>
        <v>2021</v>
      </c>
      <c r="B124" s="2">
        <f t="shared" si="6"/>
        <v>2</v>
      </c>
      <c r="C124" s="2" t="str">
        <f t="shared" si="7"/>
        <v>토</v>
      </c>
      <c r="D124" s="3">
        <v>44233</v>
      </c>
      <c r="E124" s="7">
        <v>2534</v>
      </c>
      <c r="F124" s="2" t="s">
        <v>3</v>
      </c>
      <c r="G124" s="2">
        <v>323</v>
      </c>
      <c r="H124" s="7">
        <f t="shared" si="8"/>
        <v>2211</v>
      </c>
      <c r="I124" s="2">
        <f>+COUNTIF(F$3:$F124,F124)</f>
        <v>122</v>
      </c>
      <c r="K124" s="132" t="str">
        <f t="shared" si="9"/>
        <v>주말</v>
      </c>
    </row>
    <row r="125" spans="1:11" ht="21.75" customHeight="1" x14ac:dyDescent="0.25">
      <c r="A125" s="2">
        <f t="shared" si="5"/>
        <v>2021</v>
      </c>
      <c r="B125" s="2">
        <f t="shared" si="6"/>
        <v>2</v>
      </c>
      <c r="C125" s="2" t="str">
        <f t="shared" si="7"/>
        <v>일</v>
      </c>
      <c r="D125" s="3">
        <v>44234</v>
      </c>
      <c r="E125" s="7">
        <v>2391</v>
      </c>
      <c r="F125" s="2" t="s">
        <v>3</v>
      </c>
      <c r="G125" s="2">
        <v>403</v>
      </c>
      <c r="H125" s="7">
        <f t="shared" si="8"/>
        <v>1988</v>
      </c>
      <c r="I125" s="2">
        <f>+COUNTIF(F$3:$F125,F125)</f>
        <v>123</v>
      </c>
      <c r="K125" s="132" t="str">
        <f t="shared" si="9"/>
        <v>주말</v>
      </c>
    </row>
    <row r="126" spans="1:11" ht="21.75" customHeight="1" x14ac:dyDescent="0.25">
      <c r="A126" s="2">
        <f t="shared" si="5"/>
        <v>2021</v>
      </c>
      <c r="B126" s="2">
        <f t="shared" si="6"/>
        <v>2</v>
      </c>
      <c r="C126" s="2" t="str">
        <f t="shared" si="7"/>
        <v>월</v>
      </c>
      <c r="D126" s="3">
        <v>44235</v>
      </c>
      <c r="E126" s="7">
        <v>642</v>
      </c>
      <c r="F126" s="2" t="s">
        <v>3</v>
      </c>
      <c r="G126" s="2">
        <v>18</v>
      </c>
      <c r="H126" s="7">
        <f t="shared" si="8"/>
        <v>624</v>
      </c>
      <c r="I126" s="2">
        <f>+COUNTIF(F$3:$F126,F126)</f>
        <v>124</v>
      </c>
      <c r="K126" s="132" t="str">
        <f t="shared" si="9"/>
        <v>평일</v>
      </c>
    </row>
    <row r="127" spans="1:11" ht="21.75" customHeight="1" x14ac:dyDescent="0.25">
      <c r="A127" s="2">
        <f t="shared" si="5"/>
        <v>2021</v>
      </c>
      <c r="B127" s="2">
        <f t="shared" si="6"/>
        <v>2</v>
      </c>
      <c r="C127" s="2" t="str">
        <f t="shared" si="7"/>
        <v>화</v>
      </c>
      <c r="D127" s="3">
        <v>44236</v>
      </c>
      <c r="E127" s="7">
        <v>694</v>
      </c>
      <c r="F127" s="2" t="s">
        <v>3</v>
      </c>
      <c r="G127" s="2">
        <v>27</v>
      </c>
      <c r="H127" s="7">
        <f t="shared" si="8"/>
        <v>667</v>
      </c>
      <c r="I127" s="2">
        <f>+COUNTIF(F$3:$F127,F127)</f>
        <v>125</v>
      </c>
      <c r="K127" s="132" t="str">
        <f t="shared" si="9"/>
        <v>평일</v>
      </c>
    </row>
    <row r="128" spans="1:11" ht="21.75" customHeight="1" x14ac:dyDescent="0.25">
      <c r="A128" s="2">
        <f t="shared" si="5"/>
        <v>2021</v>
      </c>
      <c r="B128" s="2">
        <f t="shared" si="6"/>
        <v>2</v>
      </c>
      <c r="C128" s="2" t="str">
        <f t="shared" si="7"/>
        <v>수</v>
      </c>
      <c r="D128" s="3">
        <v>44237</v>
      </c>
      <c r="E128" s="7">
        <v>783</v>
      </c>
      <c r="F128" s="2" t="s">
        <v>3</v>
      </c>
      <c r="G128" s="2">
        <v>33</v>
      </c>
      <c r="H128" s="7">
        <f t="shared" si="8"/>
        <v>750</v>
      </c>
      <c r="I128" s="2">
        <f>+COUNTIF(F$3:$F128,F128)</f>
        <v>126</v>
      </c>
      <c r="K128" s="132" t="str">
        <f t="shared" si="9"/>
        <v>평일</v>
      </c>
    </row>
    <row r="129" spans="1:11" ht="21.75" customHeight="1" x14ac:dyDescent="0.25">
      <c r="A129" s="2">
        <f t="shared" si="5"/>
        <v>2021</v>
      </c>
      <c r="B129" s="2">
        <f t="shared" si="6"/>
        <v>2</v>
      </c>
      <c r="C129" s="2" t="str">
        <f t="shared" si="7"/>
        <v>목</v>
      </c>
      <c r="D129" s="3">
        <v>44238</v>
      </c>
      <c r="E129" s="89">
        <v>0</v>
      </c>
      <c r="F129" s="2" t="s">
        <v>3</v>
      </c>
      <c r="G129" s="2">
        <v>0</v>
      </c>
      <c r="H129" s="7">
        <f t="shared" si="8"/>
        <v>0</v>
      </c>
      <c r="I129" s="2">
        <f>+COUNTIF(F$3:$F129,F129)</f>
        <v>127</v>
      </c>
      <c r="K129" s="132" t="str">
        <f t="shared" si="9"/>
        <v>평일</v>
      </c>
    </row>
    <row r="130" spans="1:11" ht="21.75" customHeight="1" x14ac:dyDescent="0.25">
      <c r="A130" s="2">
        <f t="shared" si="5"/>
        <v>2021</v>
      </c>
      <c r="B130" s="2">
        <f t="shared" si="6"/>
        <v>2</v>
      </c>
      <c r="C130" s="2" t="str">
        <f t="shared" si="7"/>
        <v>금</v>
      </c>
      <c r="D130" s="3">
        <v>44239</v>
      </c>
      <c r="E130" s="89">
        <v>0</v>
      </c>
      <c r="F130" s="2" t="s">
        <v>3</v>
      </c>
      <c r="G130" s="2">
        <v>0</v>
      </c>
      <c r="H130" s="7">
        <f t="shared" si="8"/>
        <v>0</v>
      </c>
      <c r="I130" s="2">
        <f>+COUNTIF(F$3:$F130,F130)</f>
        <v>128</v>
      </c>
      <c r="K130" s="132" t="str">
        <f t="shared" si="9"/>
        <v>평일</v>
      </c>
    </row>
    <row r="131" spans="1:11" ht="21.75" customHeight="1" x14ac:dyDescent="0.25">
      <c r="A131" s="2">
        <f t="shared" si="5"/>
        <v>2021</v>
      </c>
      <c r="B131" s="2">
        <f t="shared" si="6"/>
        <v>2</v>
      </c>
      <c r="C131" s="2" t="str">
        <f t="shared" si="7"/>
        <v>토</v>
      </c>
      <c r="D131" s="3">
        <v>44240</v>
      </c>
      <c r="E131" s="89">
        <v>1939</v>
      </c>
      <c r="F131" s="2" t="s">
        <v>3</v>
      </c>
      <c r="G131" s="2">
        <v>128</v>
      </c>
      <c r="H131" s="7">
        <f t="shared" si="8"/>
        <v>1811</v>
      </c>
      <c r="I131" s="2">
        <f>+COUNTIF(F$3:$F131,F131)</f>
        <v>129</v>
      </c>
      <c r="K131" s="132" t="str">
        <f t="shared" si="9"/>
        <v>주말</v>
      </c>
    </row>
    <row r="132" spans="1:11" ht="21.75" customHeight="1" x14ac:dyDescent="0.25">
      <c r="A132" s="2">
        <f t="shared" ref="A132:A195" si="10">+YEAR(D132)</f>
        <v>2021</v>
      </c>
      <c r="B132" s="2">
        <f t="shared" ref="B132:B195" si="11">+MONTH(D132)</f>
        <v>2</v>
      </c>
      <c r="C132" s="2" t="str">
        <f t="shared" ref="C132:C195" si="12">+TEXT(D132,"aaa")</f>
        <v>일</v>
      </c>
      <c r="D132" s="3">
        <v>44241</v>
      </c>
      <c r="E132" s="89">
        <v>1652</v>
      </c>
      <c r="F132" s="2" t="s">
        <v>3</v>
      </c>
      <c r="G132" s="2">
        <v>116</v>
      </c>
      <c r="H132" s="7">
        <f t="shared" ref="H132:H138" si="13">+E132-G132</f>
        <v>1536</v>
      </c>
      <c r="I132" s="2">
        <f>+COUNTIF(F$3:$F132,F132)</f>
        <v>130</v>
      </c>
      <c r="K132" s="132" t="str">
        <f t="shared" ref="K132:K195" si="14">+IF(OR(C132="토",C132="일"),"주말","평일")</f>
        <v>주말</v>
      </c>
    </row>
    <row r="133" spans="1:11" ht="21.75" customHeight="1" x14ac:dyDescent="0.25">
      <c r="A133" s="2">
        <f t="shared" si="10"/>
        <v>2021</v>
      </c>
      <c r="B133" s="2">
        <f t="shared" si="11"/>
        <v>2</v>
      </c>
      <c r="C133" s="2" t="str">
        <f t="shared" si="12"/>
        <v>월</v>
      </c>
      <c r="D133" s="3">
        <v>44242</v>
      </c>
      <c r="E133" s="89">
        <v>861</v>
      </c>
      <c r="F133" s="2" t="s">
        <v>3</v>
      </c>
      <c r="G133" s="2">
        <v>47</v>
      </c>
      <c r="H133" s="7">
        <f t="shared" si="13"/>
        <v>814</v>
      </c>
      <c r="I133" s="2">
        <f>+COUNTIF(F$3:$F133,F133)</f>
        <v>131</v>
      </c>
      <c r="K133" s="132" t="str">
        <f t="shared" si="14"/>
        <v>평일</v>
      </c>
    </row>
    <row r="134" spans="1:11" ht="21.75" customHeight="1" x14ac:dyDescent="0.25">
      <c r="A134" s="2">
        <f t="shared" si="10"/>
        <v>2021</v>
      </c>
      <c r="B134" s="2">
        <f t="shared" si="11"/>
        <v>2</v>
      </c>
      <c r="C134" s="2" t="str">
        <f t="shared" si="12"/>
        <v>화</v>
      </c>
      <c r="D134" s="3">
        <v>44243</v>
      </c>
      <c r="E134" s="89">
        <v>910</v>
      </c>
      <c r="F134" s="2" t="s">
        <v>3</v>
      </c>
      <c r="G134" s="2">
        <v>38</v>
      </c>
      <c r="H134" s="7">
        <f t="shared" si="13"/>
        <v>872</v>
      </c>
      <c r="I134" s="2">
        <f>+COUNTIF(F$3:$F134,F134)</f>
        <v>132</v>
      </c>
      <c r="K134" s="132" t="str">
        <f t="shared" si="14"/>
        <v>평일</v>
      </c>
    </row>
    <row r="135" spans="1:11" ht="21.75" customHeight="1" x14ac:dyDescent="0.25">
      <c r="A135" s="2">
        <f t="shared" si="10"/>
        <v>2021</v>
      </c>
      <c r="B135" s="2">
        <f t="shared" si="11"/>
        <v>2</v>
      </c>
      <c r="C135" s="2" t="str">
        <f t="shared" si="12"/>
        <v>수</v>
      </c>
      <c r="D135" s="3">
        <v>44244</v>
      </c>
      <c r="E135" s="89">
        <v>1057</v>
      </c>
      <c r="F135" s="2" t="s">
        <v>3</v>
      </c>
      <c r="G135" s="2">
        <v>54</v>
      </c>
      <c r="H135" s="7">
        <f t="shared" si="13"/>
        <v>1003</v>
      </c>
      <c r="I135" s="2">
        <f>+COUNTIF(F$3:$F135,F135)</f>
        <v>133</v>
      </c>
      <c r="K135" s="132" t="str">
        <f t="shared" si="14"/>
        <v>평일</v>
      </c>
    </row>
    <row r="136" spans="1:11" ht="21.75" customHeight="1" x14ac:dyDescent="0.25">
      <c r="A136" s="2">
        <f t="shared" si="10"/>
        <v>2021</v>
      </c>
      <c r="B136" s="2">
        <f t="shared" si="11"/>
        <v>2</v>
      </c>
      <c r="C136" s="2" t="str">
        <f t="shared" si="12"/>
        <v>목</v>
      </c>
      <c r="D136" s="3">
        <v>44245</v>
      </c>
      <c r="E136" s="89">
        <v>1493</v>
      </c>
      <c r="F136" s="2" t="s">
        <v>3</v>
      </c>
      <c r="G136" s="2">
        <v>66</v>
      </c>
      <c r="H136" s="7">
        <f t="shared" si="13"/>
        <v>1427</v>
      </c>
      <c r="I136" s="2">
        <f>+COUNTIF(F$3:$F136,F136)</f>
        <v>134</v>
      </c>
      <c r="K136" s="132" t="str">
        <f t="shared" si="14"/>
        <v>평일</v>
      </c>
    </row>
    <row r="137" spans="1:11" ht="21.75" customHeight="1" x14ac:dyDescent="0.25">
      <c r="A137" s="2">
        <f t="shared" si="10"/>
        <v>2021</v>
      </c>
      <c r="B137" s="2">
        <f t="shared" si="11"/>
        <v>2</v>
      </c>
      <c r="C137" s="2" t="str">
        <f t="shared" si="12"/>
        <v>금</v>
      </c>
      <c r="D137" s="3">
        <v>44246</v>
      </c>
      <c r="E137" s="89">
        <v>2014</v>
      </c>
      <c r="F137" s="2" t="s">
        <v>3</v>
      </c>
      <c r="G137" s="2">
        <v>97</v>
      </c>
      <c r="H137" s="7">
        <f t="shared" si="13"/>
        <v>1917</v>
      </c>
      <c r="I137" s="2">
        <f>+COUNTIF(F$3:$F137,F137)</f>
        <v>135</v>
      </c>
      <c r="K137" s="132" t="str">
        <f t="shared" si="14"/>
        <v>평일</v>
      </c>
    </row>
    <row r="138" spans="1:11" ht="21.75" customHeight="1" x14ac:dyDescent="0.25">
      <c r="A138" s="2">
        <f t="shared" si="10"/>
        <v>2021</v>
      </c>
      <c r="B138" s="2">
        <f t="shared" si="11"/>
        <v>2</v>
      </c>
      <c r="C138" s="2" t="str">
        <f t="shared" si="12"/>
        <v>토</v>
      </c>
      <c r="D138" s="3">
        <v>44247</v>
      </c>
      <c r="E138" s="89">
        <v>3306</v>
      </c>
      <c r="F138" s="2" t="s">
        <v>3</v>
      </c>
      <c r="G138" s="2">
        <v>314</v>
      </c>
      <c r="H138" s="7">
        <f t="shared" si="13"/>
        <v>2992</v>
      </c>
      <c r="I138" s="2">
        <f>+COUNTIF(F$3:$F138,F138)</f>
        <v>136</v>
      </c>
      <c r="K138" s="132" t="str">
        <f t="shared" si="14"/>
        <v>주말</v>
      </c>
    </row>
    <row r="139" spans="1:11" ht="21.75" customHeight="1" x14ac:dyDescent="0.25">
      <c r="A139" s="2">
        <f t="shared" si="10"/>
        <v>2021</v>
      </c>
      <c r="B139" s="2">
        <f t="shared" si="11"/>
        <v>2</v>
      </c>
      <c r="C139" s="2" t="str">
        <f t="shared" si="12"/>
        <v>일</v>
      </c>
      <c r="D139" s="3">
        <v>44248</v>
      </c>
      <c r="E139" s="7" t="s">
        <v>8</v>
      </c>
      <c r="F139" s="2" t="s">
        <v>8</v>
      </c>
      <c r="I139" s="1">
        <f>+COUNTIF(F$3:$F139,F139)</f>
        <v>1</v>
      </c>
      <c r="K139" s="132" t="str">
        <f t="shared" si="14"/>
        <v>주말</v>
      </c>
    </row>
    <row r="140" spans="1:11" ht="21.75" customHeight="1" x14ac:dyDescent="0.25">
      <c r="A140" s="2">
        <f t="shared" si="10"/>
        <v>2021</v>
      </c>
      <c r="B140" s="2">
        <f t="shared" si="11"/>
        <v>2</v>
      </c>
      <c r="C140" s="2" t="str">
        <f t="shared" si="12"/>
        <v>월</v>
      </c>
      <c r="D140" s="3">
        <v>44249</v>
      </c>
      <c r="E140" s="7" t="s">
        <v>8</v>
      </c>
      <c r="F140" s="2" t="s">
        <v>8</v>
      </c>
      <c r="I140" s="1">
        <f>+COUNTIF(F$3:$F140,F140)</f>
        <v>2</v>
      </c>
      <c r="K140" s="132" t="str">
        <f t="shared" si="14"/>
        <v>평일</v>
      </c>
    </row>
    <row r="141" spans="1:11" ht="21.75" customHeight="1" x14ac:dyDescent="0.25">
      <c r="A141" s="2">
        <f t="shared" si="10"/>
        <v>2021</v>
      </c>
      <c r="B141" s="2">
        <f t="shared" si="11"/>
        <v>2</v>
      </c>
      <c r="C141" s="2" t="str">
        <f t="shared" si="12"/>
        <v>화</v>
      </c>
      <c r="D141" s="3">
        <v>44250</v>
      </c>
      <c r="E141" s="7" t="s">
        <v>8</v>
      </c>
      <c r="F141" s="2" t="s">
        <v>8</v>
      </c>
      <c r="I141" s="1">
        <f>+COUNTIF(F$3:$F141,F141)</f>
        <v>3</v>
      </c>
      <c r="K141" s="132" t="str">
        <f t="shared" si="14"/>
        <v>평일</v>
      </c>
    </row>
    <row r="142" spans="1:11" ht="21.75" customHeight="1" x14ac:dyDescent="0.25">
      <c r="A142" s="2">
        <f t="shared" si="10"/>
        <v>2021</v>
      </c>
      <c r="B142" s="2">
        <f t="shared" si="11"/>
        <v>2</v>
      </c>
      <c r="C142" s="2" t="str">
        <f t="shared" si="12"/>
        <v>수</v>
      </c>
      <c r="D142" s="3">
        <v>44251</v>
      </c>
      <c r="E142" s="7" t="s">
        <v>8</v>
      </c>
      <c r="F142" s="2" t="s">
        <v>8</v>
      </c>
      <c r="I142" s="1">
        <f>+COUNTIF(F$3:$F142,F142)</f>
        <v>4</v>
      </c>
      <c r="K142" s="132" t="str">
        <f t="shared" si="14"/>
        <v>평일</v>
      </c>
    </row>
    <row r="143" spans="1:11" ht="21.75" customHeight="1" x14ac:dyDescent="0.25">
      <c r="A143" s="2">
        <f t="shared" si="10"/>
        <v>2021</v>
      </c>
      <c r="B143" s="2">
        <f t="shared" si="11"/>
        <v>2</v>
      </c>
      <c r="C143" s="2" t="str">
        <f t="shared" si="12"/>
        <v>목</v>
      </c>
      <c r="D143" s="3">
        <v>44252</v>
      </c>
      <c r="E143" s="7" t="s">
        <v>8</v>
      </c>
      <c r="F143" s="2" t="s">
        <v>8</v>
      </c>
      <c r="I143" s="1">
        <f>+COUNTIF(F$3:$F143,F143)</f>
        <v>5</v>
      </c>
      <c r="K143" s="132" t="str">
        <f t="shared" si="14"/>
        <v>평일</v>
      </c>
    </row>
    <row r="144" spans="1:11" ht="21.75" customHeight="1" x14ac:dyDescent="0.25">
      <c r="A144" s="2">
        <f t="shared" si="10"/>
        <v>2021</v>
      </c>
      <c r="B144" s="2">
        <f t="shared" si="11"/>
        <v>2</v>
      </c>
      <c r="C144" s="2" t="str">
        <f t="shared" si="12"/>
        <v>금</v>
      </c>
      <c r="D144" s="3">
        <v>44253</v>
      </c>
      <c r="E144" s="7" t="s">
        <v>8</v>
      </c>
      <c r="F144" s="2" t="s">
        <v>8</v>
      </c>
      <c r="I144" s="1">
        <f>+COUNTIF(F$3:$F144,F144)</f>
        <v>6</v>
      </c>
      <c r="K144" s="132" t="str">
        <f t="shared" si="14"/>
        <v>평일</v>
      </c>
    </row>
    <row r="145" spans="1:11" ht="21.75" customHeight="1" x14ac:dyDescent="0.25">
      <c r="A145" s="2">
        <f t="shared" si="10"/>
        <v>2021</v>
      </c>
      <c r="B145" s="2">
        <f t="shared" si="11"/>
        <v>2</v>
      </c>
      <c r="C145" s="2" t="str">
        <f t="shared" si="12"/>
        <v>토</v>
      </c>
      <c r="D145" s="3">
        <v>44254</v>
      </c>
      <c r="E145" s="7" t="s">
        <v>8</v>
      </c>
      <c r="F145" s="2" t="s">
        <v>8</v>
      </c>
      <c r="I145" s="1">
        <f>+COUNTIF(F$3:$F145,F145)</f>
        <v>7</v>
      </c>
      <c r="K145" s="132" t="str">
        <f t="shared" si="14"/>
        <v>주말</v>
      </c>
    </row>
    <row r="146" spans="1:11" ht="21.75" customHeight="1" x14ac:dyDescent="0.25">
      <c r="A146" s="2">
        <f t="shared" si="10"/>
        <v>2021</v>
      </c>
      <c r="B146" s="2">
        <f t="shared" si="11"/>
        <v>2</v>
      </c>
      <c r="C146" s="2" t="str">
        <f t="shared" si="12"/>
        <v>일</v>
      </c>
      <c r="D146" s="3">
        <v>44255</v>
      </c>
      <c r="E146" s="7" t="s">
        <v>8</v>
      </c>
      <c r="F146" s="2" t="s">
        <v>8</v>
      </c>
      <c r="I146" s="1">
        <f>+COUNTIF(F$3:$F146,F146)</f>
        <v>8</v>
      </c>
      <c r="K146" s="132" t="str">
        <f t="shared" si="14"/>
        <v>주말</v>
      </c>
    </row>
    <row r="147" spans="1:11" ht="21.75" customHeight="1" x14ac:dyDescent="0.25">
      <c r="A147" s="2">
        <f t="shared" si="10"/>
        <v>2021</v>
      </c>
      <c r="B147" s="2">
        <f t="shared" si="11"/>
        <v>3</v>
      </c>
      <c r="C147" s="2" t="str">
        <f t="shared" si="12"/>
        <v>월</v>
      </c>
      <c r="D147" s="3">
        <v>44256</v>
      </c>
      <c r="E147" s="7" t="s">
        <v>8</v>
      </c>
      <c r="F147" s="2" t="s">
        <v>8</v>
      </c>
      <c r="I147" s="1">
        <f>+COUNTIF(F$3:$F147,F147)</f>
        <v>9</v>
      </c>
      <c r="K147" s="132" t="str">
        <f t="shared" si="14"/>
        <v>평일</v>
      </c>
    </row>
    <row r="148" spans="1:11" ht="21.75" customHeight="1" x14ac:dyDescent="0.25">
      <c r="A148" s="2">
        <f t="shared" si="10"/>
        <v>2021</v>
      </c>
      <c r="B148" s="2">
        <f t="shared" si="11"/>
        <v>3</v>
      </c>
      <c r="C148" s="2" t="str">
        <f t="shared" si="12"/>
        <v>화</v>
      </c>
      <c r="D148" s="3">
        <v>44257</v>
      </c>
      <c r="E148" s="7" t="s">
        <v>8</v>
      </c>
      <c r="F148" s="2" t="s">
        <v>8</v>
      </c>
      <c r="I148" s="1">
        <f>+COUNTIF(F$3:$F148,F148)</f>
        <v>10</v>
      </c>
      <c r="K148" s="132" t="str">
        <f t="shared" si="14"/>
        <v>평일</v>
      </c>
    </row>
    <row r="149" spans="1:11" ht="21.75" customHeight="1" x14ac:dyDescent="0.25">
      <c r="A149" s="2">
        <f t="shared" si="10"/>
        <v>2021</v>
      </c>
      <c r="B149" s="2">
        <f t="shared" si="11"/>
        <v>3</v>
      </c>
      <c r="C149" s="2" t="str">
        <f t="shared" si="12"/>
        <v>수</v>
      </c>
      <c r="D149" s="3">
        <v>44258</v>
      </c>
      <c r="E149" s="7" t="s">
        <v>8</v>
      </c>
      <c r="F149" s="2" t="s">
        <v>8</v>
      </c>
      <c r="I149" s="1">
        <f>+COUNTIF(F$3:$F149,F149)</f>
        <v>11</v>
      </c>
      <c r="K149" s="132" t="str">
        <f t="shared" si="14"/>
        <v>평일</v>
      </c>
    </row>
    <row r="150" spans="1:11" ht="21.75" customHeight="1" x14ac:dyDescent="0.25">
      <c r="A150" s="2">
        <f t="shared" si="10"/>
        <v>2021</v>
      </c>
      <c r="B150" s="2">
        <f t="shared" si="11"/>
        <v>3</v>
      </c>
      <c r="C150" s="2" t="str">
        <f t="shared" si="12"/>
        <v>목</v>
      </c>
      <c r="D150" s="3">
        <v>44259</v>
      </c>
      <c r="E150" s="7" t="s">
        <v>8</v>
      </c>
      <c r="F150" s="2" t="s">
        <v>8</v>
      </c>
      <c r="I150" s="1">
        <f>+COUNTIF(F$3:$F150,F150)</f>
        <v>12</v>
      </c>
      <c r="K150" s="132" t="str">
        <f t="shared" si="14"/>
        <v>평일</v>
      </c>
    </row>
    <row r="151" spans="1:11" ht="21.75" customHeight="1" x14ac:dyDescent="0.25">
      <c r="A151" s="2">
        <f t="shared" si="10"/>
        <v>2021</v>
      </c>
      <c r="B151" s="2">
        <f t="shared" si="11"/>
        <v>3</v>
      </c>
      <c r="C151" s="2" t="str">
        <f t="shared" si="12"/>
        <v>금</v>
      </c>
      <c r="D151" s="3">
        <v>44260</v>
      </c>
      <c r="E151" s="7" t="s">
        <v>8</v>
      </c>
      <c r="F151" s="2" t="s">
        <v>8</v>
      </c>
      <c r="I151" s="1">
        <f>+COUNTIF(F$3:$F151,F151)</f>
        <v>13</v>
      </c>
      <c r="K151" s="132" t="str">
        <f t="shared" si="14"/>
        <v>평일</v>
      </c>
    </row>
    <row r="152" spans="1:11" ht="21.75" customHeight="1" x14ac:dyDescent="0.25">
      <c r="A152" s="2">
        <f t="shared" si="10"/>
        <v>2021</v>
      </c>
      <c r="B152" s="2">
        <f t="shared" si="11"/>
        <v>3</v>
      </c>
      <c r="C152" s="2" t="str">
        <f t="shared" si="12"/>
        <v>토</v>
      </c>
      <c r="D152" s="3">
        <v>44261</v>
      </c>
      <c r="E152" s="7" t="s">
        <v>8</v>
      </c>
      <c r="F152" s="2" t="s">
        <v>8</v>
      </c>
      <c r="I152" s="1">
        <f>+COUNTIF(F$3:$F152,F152)</f>
        <v>14</v>
      </c>
      <c r="K152" s="132" t="str">
        <f t="shared" si="14"/>
        <v>주말</v>
      </c>
    </row>
    <row r="153" spans="1:11" ht="21.75" customHeight="1" x14ac:dyDescent="0.25">
      <c r="A153" s="2">
        <f t="shared" si="10"/>
        <v>2021</v>
      </c>
      <c r="B153" s="2">
        <f t="shared" si="11"/>
        <v>3</v>
      </c>
      <c r="C153" s="2" t="str">
        <f t="shared" si="12"/>
        <v>일</v>
      </c>
      <c r="D153" s="3">
        <v>44262</v>
      </c>
      <c r="E153" s="7" t="s">
        <v>8</v>
      </c>
      <c r="F153" s="2" t="s">
        <v>8</v>
      </c>
      <c r="I153" s="1">
        <f>+COUNTIF(F$3:$F153,F153)</f>
        <v>15</v>
      </c>
      <c r="K153" s="132" t="str">
        <f t="shared" si="14"/>
        <v>주말</v>
      </c>
    </row>
    <row r="154" spans="1:11" ht="21.75" customHeight="1" x14ac:dyDescent="0.25">
      <c r="A154" s="2">
        <f t="shared" si="10"/>
        <v>2021</v>
      </c>
      <c r="B154" s="2">
        <f t="shared" si="11"/>
        <v>3</v>
      </c>
      <c r="C154" s="2" t="str">
        <f t="shared" si="12"/>
        <v>월</v>
      </c>
      <c r="D154" s="3">
        <v>44263</v>
      </c>
      <c r="E154" s="7" t="s">
        <v>8</v>
      </c>
      <c r="F154" s="2" t="s">
        <v>8</v>
      </c>
      <c r="I154" s="1">
        <f>+COUNTIF(F$3:$F154,F154)</f>
        <v>16</v>
      </c>
      <c r="K154" s="132" t="str">
        <f t="shared" si="14"/>
        <v>평일</v>
      </c>
    </row>
    <row r="155" spans="1:11" ht="21.75" customHeight="1" x14ac:dyDescent="0.25">
      <c r="A155" s="2">
        <f t="shared" si="10"/>
        <v>2021</v>
      </c>
      <c r="B155" s="2">
        <f t="shared" si="11"/>
        <v>3</v>
      </c>
      <c r="C155" s="2" t="str">
        <f t="shared" si="12"/>
        <v>화</v>
      </c>
      <c r="D155" s="3">
        <v>44264</v>
      </c>
      <c r="E155" s="7" t="s">
        <v>8</v>
      </c>
      <c r="F155" s="2" t="s">
        <v>8</v>
      </c>
      <c r="I155" s="1">
        <f>+COUNTIF(F$3:$F155,F155)</f>
        <v>17</v>
      </c>
      <c r="K155" s="132" t="str">
        <f t="shared" si="14"/>
        <v>평일</v>
      </c>
    </row>
    <row r="156" spans="1:11" ht="21.75" customHeight="1" x14ac:dyDescent="0.25">
      <c r="A156" s="2">
        <f t="shared" si="10"/>
        <v>2021</v>
      </c>
      <c r="B156" s="2">
        <f t="shared" si="11"/>
        <v>3</v>
      </c>
      <c r="C156" s="2" t="str">
        <f t="shared" si="12"/>
        <v>수</v>
      </c>
      <c r="D156" s="3">
        <v>44265</v>
      </c>
      <c r="E156" s="7" t="s">
        <v>8</v>
      </c>
      <c r="F156" s="2" t="s">
        <v>8</v>
      </c>
      <c r="I156" s="1">
        <f>+COUNTIF(F$3:$F156,F156)</f>
        <v>18</v>
      </c>
      <c r="K156" s="132" t="str">
        <f t="shared" si="14"/>
        <v>평일</v>
      </c>
    </row>
    <row r="157" spans="1:11" ht="21.75" customHeight="1" x14ac:dyDescent="0.25">
      <c r="A157" s="2">
        <f t="shared" si="10"/>
        <v>2021</v>
      </c>
      <c r="B157" s="2">
        <f t="shared" si="11"/>
        <v>3</v>
      </c>
      <c r="C157" s="2" t="str">
        <f t="shared" si="12"/>
        <v>목</v>
      </c>
      <c r="D157" s="3">
        <v>44266</v>
      </c>
      <c r="E157" s="7" t="s">
        <v>8</v>
      </c>
      <c r="F157" s="2" t="s">
        <v>8</v>
      </c>
      <c r="I157" s="1">
        <f>+COUNTIF(F$3:$F157,F157)</f>
        <v>19</v>
      </c>
      <c r="K157" s="132" t="str">
        <f t="shared" si="14"/>
        <v>평일</v>
      </c>
    </row>
    <row r="158" spans="1:11" ht="21.75" customHeight="1" x14ac:dyDescent="0.25">
      <c r="A158" s="2">
        <f t="shared" si="10"/>
        <v>2021</v>
      </c>
      <c r="B158" s="2">
        <f t="shared" si="11"/>
        <v>3</v>
      </c>
      <c r="C158" s="2" t="str">
        <f t="shared" si="12"/>
        <v>금</v>
      </c>
      <c r="D158" s="3">
        <v>44267</v>
      </c>
      <c r="E158" s="7" t="s">
        <v>8</v>
      </c>
      <c r="F158" s="2" t="s">
        <v>8</v>
      </c>
      <c r="I158" s="1">
        <f>+COUNTIF(F$3:$F158,F158)</f>
        <v>20</v>
      </c>
      <c r="K158" s="132" t="str">
        <f t="shared" si="14"/>
        <v>평일</v>
      </c>
    </row>
    <row r="159" spans="1:11" ht="21.75" customHeight="1" x14ac:dyDescent="0.25">
      <c r="A159" s="2">
        <f t="shared" si="10"/>
        <v>2021</v>
      </c>
      <c r="B159" s="2">
        <f t="shared" si="11"/>
        <v>3</v>
      </c>
      <c r="C159" s="2" t="str">
        <f t="shared" si="12"/>
        <v>토</v>
      </c>
      <c r="D159" s="3">
        <v>44268</v>
      </c>
      <c r="E159" s="7" t="s">
        <v>8</v>
      </c>
      <c r="F159" s="2" t="s">
        <v>8</v>
      </c>
      <c r="I159" s="1">
        <f>+COUNTIF(F$3:$F159,F159)</f>
        <v>21</v>
      </c>
      <c r="K159" s="132" t="str">
        <f t="shared" si="14"/>
        <v>주말</v>
      </c>
    </row>
    <row r="160" spans="1:11" ht="21.75" customHeight="1" x14ac:dyDescent="0.25">
      <c r="A160" s="2">
        <f t="shared" si="10"/>
        <v>2021</v>
      </c>
      <c r="B160" s="2">
        <f t="shared" si="11"/>
        <v>3</v>
      </c>
      <c r="C160" s="2" t="str">
        <f t="shared" si="12"/>
        <v>일</v>
      </c>
      <c r="D160" s="3">
        <v>44269</v>
      </c>
      <c r="E160" s="7" t="s">
        <v>8</v>
      </c>
      <c r="F160" s="2" t="s">
        <v>8</v>
      </c>
      <c r="I160" s="1">
        <f>+COUNTIF(F$3:$F160,F160)</f>
        <v>22</v>
      </c>
      <c r="K160" s="132" t="str">
        <f t="shared" si="14"/>
        <v>주말</v>
      </c>
    </row>
    <row r="161" spans="1:11" ht="21.75" customHeight="1" x14ac:dyDescent="0.25">
      <c r="A161" s="2">
        <f t="shared" si="10"/>
        <v>2021</v>
      </c>
      <c r="B161" s="2">
        <f t="shared" si="11"/>
        <v>3</v>
      </c>
      <c r="C161" s="2" t="str">
        <f t="shared" si="12"/>
        <v>월</v>
      </c>
      <c r="D161" s="3">
        <v>44270</v>
      </c>
      <c r="E161" s="7" t="s">
        <v>8</v>
      </c>
      <c r="F161" s="2" t="s">
        <v>8</v>
      </c>
      <c r="I161" s="1">
        <f>+COUNTIF(F$3:$F161,F161)</f>
        <v>23</v>
      </c>
      <c r="K161" s="132" t="str">
        <f t="shared" si="14"/>
        <v>평일</v>
      </c>
    </row>
    <row r="162" spans="1:11" ht="21.75" customHeight="1" x14ac:dyDescent="0.25">
      <c r="A162" s="2">
        <f t="shared" si="10"/>
        <v>2021</v>
      </c>
      <c r="B162" s="2">
        <f t="shared" si="11"/>
        <v>3</v>
      </c>
      <c r="C162" s="2" t="str">
        <f t="shared" si="12"/>
        <v>화</v>
      </c>
      <c r="D162" s="3">
        <v>44271</v>
      </c>
      <c r="E162" s="7" t="s">
        <v>8</v>
      </c>
      <c r="F162" s="2" t="s">
        <v>8</v>
      </c>
      <c r="I162" s="1">
        <f>+COUNTIF(F$3:$F162,F162)</f>
        <v>24</v>
      </c>
      <c r="K162" s="132" t="str">
        <f t="shared" si="14"/>
        <v>평일</v>
      </c>
    </row>
    <row r="163" spans="1:11" ht="21.75" customHeight="1" x14ac:dyDescent="0.25">
      <c r="A163" s="2">
        <f t="shared" si="10"/>
        <v>2021</v>
      </c>
      <c r="B163" s="2">
        <f t="shared" si="11"/>
        <v>3</v>
      </c>
      <c r="C163" s="2" t="str">
        <f t="shared" si="12"/>
        <v>수</v>
      </c>
      <c r="D163" s="3">
        <v>44272</v>
      </c>
      <c r="E163" s="7" t="s">
        <v>8</v>
      </c>
      <c r="F163" s="2" t="s">
        <v>8</v>
      </c>
      <c r="I163" s="1">
        <f>+COUNTIF(F$3:$F163,F163)</f>
        <v>25</v>
      </c>
      <c r="K163" s="132" t="str">
        <f t="shared" si="14"/>
        <v>평일</v>
      </c>
    </row>
    <row r="164" spans="1:11" ht="21.75" customHeight="1" x14ac:dyDescent="0.25">
      <c r="A164" s="2">
        <f t="shared" si="10"/>
        <v>2021</v>
      </c>
      <c r="B164" s="2">
        <f t="shared" si="11"/>
        <v>3</v>
      </c>
      <c r="C164" s="2" t="str">
        <f t="shared" si="12"/>
        <v>목</v>
      </c>
      <c r="D164" s="3">
        <v>44273</v>
      </c>
      <c r="E164" s="7" t="s">
        <v>8</v>
      </c>
      <c r="F164" s="2" t="s">
        <v>8</v>
      </c>
      <c r="I164" s="1">
        <f>+COUNTIF(F$3:$F164,F164)</f>
        <v>26</v>
      </c>
      <c r="K164" s="132" t="str">
        <f t="shared" si="14"/>
        <v>평일</v>
      </c>
    </row>
    <row r="165" spans="1:11" ht="21.75" customHeight="1" x14ac:dyDescent="0.25">
      <c r="A165" s="2">
        <f t="shared" si="10"/>
        <v>2021</v>
      </c>
      <c r="B165" s="2">
        <f t="shared" si="11"/>
        <v>3</v>
      </c>
      <c r="C165" s="2" t="str">
        <f t="shared" si="12"/>
        <v>금</v>
      </c>
      <c r="D165" s="3">
        <v>44274</v>
      </c>
      <c r="E165" s="7" t="s">
        <v>8</v>
      </c>
      <c r="F165" s="2" t="s">
        <v>8</v>
      </c>
      <c r="I165" s="1">
        <f>+COUNTIF(F$3:$F165,F165)</f>
        <v>27</v>
      </c>
      <c r="K165" s="132" t="str">
        <f t="shared" si="14"/>
        <v>평일</v>
      </c>
    </row>
    <row r="166" spans="1:11" ht="21.75" customHeight="1" x14ac:dyDescent="0.25">
      <c r="A166" s="2">
        <f t="shared" si="10"/>
        <v>2021</v>
      </c>
      <c r="B166" s="2">
        <f t="shared" si="11"/>
        <v>3</v>
      </c>
      <c r="C166" s="2" t="str">
        <f t="shared" si="12"/>
        <v>토</v>
      </c>
      <c r="D166" s="3">
        <v>44275</v>
      </c>
      <c r="E166" s="7" t="s">
        <v>8</v>
      </c>
      <c r="F166" s="2" t="s">
        <v>8</v>
      </c>
      <c r="I166" s="1">
        <f>+COUNTIF(F$3:$F166,F166)</f>
        <v>28</v>
      </c>
      <c r="K166" s="132" t="str">
        <f t="shared" si="14"/>
        <v>주말</v>
      </c>
    </row>
    <row r="167" spans="1:11" ht="21.75" customHeight="1" x14ac:dyDescent="0.25">
      <c r="A167" s="2">
        <f t="shared" si="10"/>
        <v>2021</v>
      </c>
      <c r="B167" s="2">
        <f t="shared" si="11"/>
        <v>3</v>
      </c>
      <c r="C167" s="2" t="str">
        <f t="shared" si="12"/>
        <v>일</v>
      </c>
      <c r="D167" s="3">
        <v>44276</v>
      </c>
      <c r="E167" s="7" t="s">
        <v>8</v>
      </c>
      <c r="F167" s="2" t="s">
        <v>8</v>
      </c>
      <c r="I167" s="1">
        <f>+COUNTIF(F$3:$F167,F167)</f>
        <v>29</v>
      </c>
      <c r="K167" s="132" t="str">
        <f t="shared" si="14"/>
        <v>주말</v>
      </c>
    </row>
    <row r="168" spans="1:11" ht="21.75" customHeight="1" x14ac:dyDescent="0.25">
      <c r="A168" s="2">
        <f t="shared" si="10"/>
        <v>2021</v>
      </c>
      <c r="B168" s="2">
        <f t="shared" si="11"/>
        <v>3</v>
      </c>
      <c r="C168" s="2" t="str">
        <f t="shared" si="12"/>
        <v>월</v>
      </c>
      <c r="D168" s="3">
        <v>44277</v>
      </c>
      <c r="E168" s="7" t="s">
        <v>8</v>
      </c>
      <c r="F168" s="2" t="s">
        <v>8</v>
      </c>
      <c r="I168" s="1">
        <f>+COUNTIF(F$3:$F168,F168)</f>
        <v>30</v>
      </c>
      <c r="K168" s="132" t="str">
        <f t="shared" si="14"/>
        <v>평일</v>
      </c>
    </row>
    <row r="169" spans="1:11" ht="21.75" customHeight="1" x14ac:dyDescent="0.25">
      <c r="A169" s="2">
        <f t="shared" si="10"/>
        <v>2021</v>
      </c>
      <c r="B169" s="2">
        <f t="shared" si="11"/>
        <v>3</v>
      </c>
      <c r="C169" s="2" t="str">
        <f t="shared" si="12"/>
        <v>화</v>
      </c>
      <c r="D169" s="3">
        <v>44278</v>
      </c>
      <c r="E169" s="7" t="s">
        <v>8</v>
      </c>
      <c r="F169" s="2" t="s">
        <v>8</v>
      </c>
      <c r="I169" s="1">
        <f>+COUNTIF(F$3:$F169,F169)</f>
        <v>31</v>
      </c>
      <c r="K169" s="132" t="str">
        <f t="shared" si="14"/>
        <v>평일</v>
      </c>
    </row>
    <row r="170" spans="1:11" ht="21.75" customHeight="1" x14ac:dyDescent="0.25">
      <c r="A170" s="2">
        <f t="shared" si="10"/>
        <v>2021</v>
      </c>
      <c r="B170" s="2">
        <f t="shared" si="11"/>
        <v>3</v>
      </c>
      <c r="C170" s="2" t="str">
        <f t="shared" si="12"/>
        <v>수</v>
      </c>
      <c r="D170" s="3">
        <v>44279</v>
      </c>
      <c r="E170" s="7" t="s">
        <v>8</v>
      </c>
      <c r="F170" s="2" t="s">
        <v>8</v>
      </c>
      <c r="I170" s="1">
        <f>+COUNTIF(F$3:$F170,F170)</f>
        <v>32</v>
      </c>
      <c r="K170" s="132" t="str">
        <f t="shared" si="14"/>
        <v>평일</v>
      </c>
    </row>
    <row r="171" spans="1:11" ht="21.75" customHeight="1" x14ac:dyDescent="0.25">
      <c r="A171" s="2">
        <f t="shared" si="10"/>
        <v>2021</v>
      </c>
      <c r="B171" s="2">
        <f t="shared" si="11"/>
        <v>3</v>
      </c>
      <c r="C171" s="2" t="str">
        <f t="shared" si="12"/>
        <v>목</v>
      </c>
      <c r="D171" s="3">
        <v>44280</v>
      </c>
      <c r="E171" s="7" t="s">
        <v>8</v>
      </c>
      <c r="F171" s="2" t="s">
        <v>8</v>
      </c>
      <c r="I171" s="1">
        <f>+COUNTIF(F$3:$F171,F171)</f>
        <v>33</v>
      </c>
      <c r="K171" s="132" t="str">
        <f t="shared" si="14"/>
        <v>평일</v>
      </c>
    </row>
    <row r="172" spans="1:11" ht="21.75" customHeight="1" x14ac:dyDescent="0.25">
      <c r="A172" s="2">
        <f t="shared" si="10"/>
        <v>2021</v>
      </c>
      <c r="B172" s="2">
        <f t="shared" si="11"/>
        <v>3</v>
      </c>
      <c r="C172" s="2" t="str">
        <f t="shared" si="12"/>
        <v>금</v>
      </c>
      <c r="D172" s="3">
        <v>44281</v>
      </c>
      <c r="E172" s="7" t="s">
        <v>8</v>
      </c>
      <c r="F172" s="2" t="s">
        <v>8</v>
      </c>
      <c r="I172" s="1">
        <f>+COUNTIF(F$3:$F172,F172)</f>
        <v>34</v>
      </c>
      <c r="K172" s="132" t="str">
        <f t="shared" si="14"/>
        <v>평일</v>
      </c>
    </row>
    <row r="173" spans="1:11" ht="21.75" customHeight="1" x14ac:dyDescent="0.25">
      <c r="A173" s="2">
        <f t="shared" si="10"/>
        <v>2021</v>
      </c>
      <c r="B173" s="2">
        <f t="shared" si="11"/>
        <v>3</v>
      </c>
      <c r="C173" s="2" t="str">
        <f t="shared" si="12"/>
        <v>토</v>
      </c>
      <c r="D173" s="3">
        <v>44282</v>
      </c>
      <c r="E173" s="7" t="s">
        <v>8</v>
      </c>
      <c r="F173" s="2" t="s">
        <v>8</v>
      </c>
      <c r="I173" s="1">
        <f>+COUNTIF(F$3:$F173,F173)</f>
        <v>35</v>
      </c>
      <c r="K173" s="132" t="str">
        <f t="shared" si="14"/>
        <v>주말</v>
      </c>
    </row>
    <row r="174" spans="1:11" ht="21.75" customHeight="1" x14ac:dyDescent="0.25">
      <c r="A174" s="2">
        <f t="shared" si="10"/>
        <v>2021</v>
      </c>
      <c r="B174" s="2">
        <f t="shared" si="11"/>
        <v>3</v>
      </c>
      <c r="C174" s="2" t="str">
        <f t="shared" si="12"/>
        <v>일</v>
      </c>
      <c r="D174" s="3">
        <v>44283</v>
      </c>
      <c r="E174" s="7" t="s">
        <v>8</v>
      </c>
      <c r="F174" s="2" t="s">
        <v>8</v>
      </c>
      <c r="I174" s="1">
        <f>+COUNTIF(F$3:$F174,F174)</f>
        <v>36</v>
      </c>
      <c r="K174" s="132" t="str">
        <f t="shared" si="14"/>
        <v>주말</v>
      </c>
    </row>
    <row r="175" spans="1:11" ht="21.75" customHeight="1" x14ac:dyDescent="0.25">
      <c r="A175" s="2">
        <f t="shared" si="10"/>
        <v>2021</v>
      </c>
      <c r="B175" s="2">
        <f t="shared" si="11"/>
        <v>3</v>
      </c>
      <c r="C175" s="2" t="str">
        <f t="shared" si="12"/>
        <v>월</v>
      </c>
      <c r="D175" s="3">
        <v>44284</v>
      </c>
      <c r="E175" s="7" t="s">
        <v>8</v>
      </c>
      <c r="F175" s="2" t="s">
        <v>8</v>
      </c>
      <c r="I175" s="1">
        <f>+COUNTIF(F$3:$F175,F175)</f>
        <v>37</v>
      </c>
      <c r="K175" s="132" t="str">
        <f t="shared" si="14"/>
        <v>평일</v>
      </c>
    </row>
    <row r="176" spans="1:11" ht="21.75" customHeight="1" x14ac:dyDescent="0.25">
      <c r="A176" s="2">
        <f t="shared" si="10"/>
        <v>2021</v>
      </c>
      <c r="B176" s="2">
        <f t="shared" si="11"/>
        <v>3</v>
      </c>
      <c r="C176" s="2" t="str">
        <f t="shared" si="12"/>
        <v>화</v>
      </c>
      <c r="D176" s="3">
        <v>44285</v>
      </c>
      <c r="E176" s="7" t="s">
        <v>8</v>
      </c>
      <c r="F176" s="2" t="s">
        <v>8</v>
      </c>
      <c r="I176" s="1">
        <f>+COUNTIF(F$3:$F176,F176)</f>
        <v>38</v>
      </c>
      <c r="K176" s="132" t="str">
        <f t="shared" si="14"/>
        <v>평일</v>
      </c>
    </row>
    <row r="177" spans="1:11" ht="21.75" customHeight="1" x14ac:dyDescent="0.25">
      <c r="A177" s="2">
        <f t="shared" si="10"/>
        <v>2021</v>
      </c>
      <c r="B177" s="2">
        <f t="shared" si="11"/>
        <v>3</v>
      </c>
      <c r="C177" s="2" t="str">
        <f t="shared" si="12"/>
        <v>수</v>
      </c>
      <c r="D177" s="3">
        <v>44286</v>
      </c>
      <c r="E177" s="7" t="s">
        <v>8</v>
      </c>
      <c r="F177" s="2" t="s">
        <v>8</v>
      </c>
      <c r="I177" s="1">
        <f>+COUNTIF(F$3:$F177,F177)</f>
        <v>39</v>
      </c>
      <c r="K177" s="132" t="str">
        <f t="shared" si="14"/>
        <v>평일</v>
      </c>
    </row>
    <row r="178" spans="1:11" ht="21.75" customHeight="1" x14ac:dyDescent="0.25">
      <c r="A178" s="2">
        <f t="shared" si="10"/>
        <v>2021</v>
      </c>
      <c r="B178" s="2">
        <f t="shared" si="11"/>
        <v>4</v>
      </c>
      <c r="C178" s="2" t="str">
        <f t="shared" si="12"/>
        <v>목</v>
      </c>
      <c r="D178" s="3">
        <v>44287</v>
      </c>
      <c r="E178" s="7" t="s">
        <v>8</v>
      </c>
      <c r="F178" s="2" t="s">
        <v>8</v>
      </c>
      <c r="I178" s="1">
        <f>+COUNTIF(F$3:$F178,F178)</f>
        <v>40</v>
      </c>
      <c r="K178" s="132" t="str">
        <f t="shared" si="14"/>
        <v>평일</v>
      </c>
    </row>
    <row r="179" spans="1:11" ht="21.75" customHeight="1" x14ac:dyDescent="0.25">
      <c r="A179" s="2">
        <f t="shared" si="10"/>
        <v>2021</v>
      </c>
      <c r="B179" s="2">
        <f t="shared" si="11"/>
        <v>4</v>
      </c>
      <c r="C179" s="2" t="str">
        <f t="shared" si="12"/>
        <v>금</v>
      </c>
      <c r="D179" s="3">
        <v>44288</v>
      </c>
      <c r="E179" s="7" t="s">
        <v>8</v>
      </c>
      <c r="F179" s="2" t="s">
        <v>8</v>
      </c>
      <c r="I179" s="1">
        <f>+COUNTIF(F$3:$F179,F179)</f>
        <v>41</v>
      </c>
      <c r="K179" s="132" t="str">
        <f t="shared" si="14"/>
        <v>평일</v>
      </c>
    </row>
    <row r="180" spans="1:11" ht="21.75" customHeight="1" x14ac:dyDescent="0.25">
      <c r="A180" s="2">
        <f t="shared" si="10"/>
        <v>2021</v>
      </c>
      <c r="B180" s="2">
        <f t="shared" si="11"/>
        <v>4</v>
      </c>
      <c r="C180" s="2" t="str">
        <f t="shared" si="12"/>
        <v>토</v>
      </c>
      <c r="D180" s="3">
        <v>44289</v>
      </c>
      <c r="E180" s="7" t="s">
        <v>8</v>
      </c>
      <c r="F180" s="2" t="s">
        <v>8</v>
      </c>
      <c r="I180" s="1">
        <f>+COUNTIF(F$3:$F180,F180)</f>
        <v>42</v>
      </c>
      <c r="K180" s="132" t="str">
        <f t="shared" si="14"/>
        <v>주말</v>
      </c>
    </row>
    <row r="181" spans="1:11" ht="21.75" customHeight="1" x14ac:dyDescent="0.25">
      <c r="A181" s="2">
        <f t="shared" si="10"/>
        <v>2021</v>
      </c>
      <c r="B181" s="2">
        <f t="shared" si="11"/>
        <v>4</v>
      </c>
      <c r="C181" s="2" t="str">
        <f t="shared" si="12"/>
        <v>일</v>
      </c>
      <c r="D181" s="3">
        <v>44290</v>
      </c>
      <c r="E181" s="7" t="s">
        <v>8</v>
      </c>
      <c r="F181" s="2" t="s">
        <v>8</v>
      </c>
      <c r="I181" s="1">
        <f>+COUNTIF(F$3:$F181,F181)</f>
        <v>43</v>
      </c>
      <c r="K181" s="132" t="str">
        <f t="shared" si="14"/>
        <v>주말</v>
      </c>
    </row>
    <row r="182" spans="1:11" ht="21.75" customHeight="1" x14ac:dyDescent="0.25">
      <c r="A182" s="2">
        <f t="shared" si="10"/>
        <v>2021</v>
      </c>
      <c r="B182" s="2">
        <f t="shared" si="11"/>
        <v>4</v>
      </c>
      <c r="C182" s="2" t="str">
        <f t="shared" si="12"/>
        <v>월</v>
      </c>
      <c r="D182" s="3">
        <v>44291</v>
      </c>
      <c r="E182" s="7" t="s">
        <v>8</v>
      </c>
      <c r="F182" s="2" t="s">
        <v>8</v>
      </c>
      <c r="I182" s="1">
        <f>+COUNTIF(F$3:$F182,F182)</f>
        <v>44</v>
      </c>
      <c r="K182" s="132" t="str">
        <f t="shared" si="14"/>
        <v>평일</v>
      </c>
    </row>
    <row r="183" spans="1:11" ht="21.75" customHeight="1" x14ac:dyDescent="0.25">
      <c r="A183" s="2">
        <f t="shared" si="10"/>
        <v>2021</v>
      </c>
      <c r="B183" s="2">
        <f t="shared" si="11"/>
        <v>4</v>
      </c>
      <c r="C183" s="2" t="str">
        <f t="shared" si="12"/>
        <v>화</v>
      </c>
      <c r="D183" s="3">
        <v>44292</v>
      </c>
      <c r="E183" s="7" t="s">
        <v>8</v>
      </c>
      <c r="F183" s="2" t="s">
        <v>8</v>
      </c>
      <c r="I183" s="1">
        <f>+COUNTIF(F$3:$F183,F183)</f>
        <v>45</v>
      </c>
      <c r="K183" s="132" t="str">
        <f t="shared" si="14"/>
        <v>평일</v>
      </c>
    </row>
    <row r="184" spans="1:11" ht="21.75" customHeight="1" x14ac:dyDescent="0.25">
      <c r="A184" s="2">
        <f t="shared" si="10"/>
        <v>2021</v>
      </c>
      <c r="B184" s="2">
        <f t="shared" si="11"/>
        <v>4</v>
      </c>
      <c r="C184" s="2" t="str">
        <f t="shared" si="12"/>
        <v>수</v>
      </c>
      <c r="D184" s="3">
        <v>44293</v>
      </c>
      <c r="E184" s="7" t="s">
        <v>8</v>
      </c>
      <c r="F184" s="2" t="s">
        <v>8</v>
      </c>
      <c r="I184" s="1">
        <f>+COUNTIF(F$3:$F184,F184)</f>
        <v>46</v>
      </c>
      <c r="K184" s="132" t="str">
        <f t="shared" si="14"/>
        <v>평일</v>
      </c>
    </row>
    <row r="185" spans="1:11" ht="21.75" customHeight="1" x14ac:dyDescent="0.25">
      <c r="A185" s="2">
        <f t="shared" si="10"/>
        <v>2021</v>
      </c>
      <c r="B185" s="2">
        <f t="shared" si="11"/>
        <v>4</v>
      </c>
      <c r="C185" s="2" t="str">
        <f t="shared" si="12"/>
        <v>목</v>
      </c>
      <c r="D185" s="3">
        <v>44294</v>
      </c>
      <c r="E185" s="7" t="s">
        <v>8</v>
      </c>
      <c r="F185" s="2" t="s">
        <v>8</v>
      </c>
      <c r="I185" s="1">
        <f>+COUNTIF(F$3:$F185,F185)</f>
        <v>47</v>
      </c>
      <c r="K185" s="132" t="str">
        <f t="shared" si="14"/>
        <v>평일</v>
      </c>
    </row>
    <row r="186" spans="1:11" ht="21.75" customHeight="1" x14ac:dyDescent="0.25">
      <c r="A186" s="2">
        <f t="shared" si="10"/>
        <v>2021</v>
      </c>
      <c r="B186" s="2">
        <f t="shared" si="11"/>
        <v>4</v>
      </c>
      <c r="C186" s="2" t="str">
        <f t="shared" si="12"/>
        <v>금</v>
      </c>
      <c r="D186" s="3">
        <v>44295</v>
      </c>
      <c r="E186" s="7" t="s">
        <v>8</v>
      </c>
      <c r="F186" s="2" t="s">
        <v>8</v>
      </c>
      <c r="I186" s="1">
        <f>+COUNTIF(F$3:$F186,F186)</f>
        <v>48</v>
      </c>
      <c r="K186" s="132" t="str">
        <f t="shared" si="14"/>
        <v>평일</v>
      </c>
    </row>
    <row r="187" spans="1:11" ht="21.75" customHeight="1" x14ac:dyDescent="0.25">
      <c r="A187" s="2">
        <f t="shared" si="10"/>
        <v>2021</v>
      </c>
      <c r="B187" s="2">
        <f t="shared" si="11"/>
        <v>4</v>
      </c>
      <c r="C187" s="2" t="str">
        <f t="shared" si="12"/>
        <v>토</v>
      </c>
      <c r="D187" s="3">
        <v>44296</v>
      </c>
      <c r="E187" s="7" t="s">
        <v>8</v>
      </c>
      <c r="F187" s="2" t="s">
        <v>8</v>
      </c>
      <c r="I187" s="1">
        <f>+COUNTIF(F$3:$F187,F187)</f>
        <v>49</v>
      </c>
      <c r="K187" s="132" t="str">
        <f t="shared" si="14"/>
        <v>주말</v>
      </c>
    </row>
    <row r="188" spans="1:11" ht="21.75" customHeight="1" x14ac:dyDescent="0.25">
      <c r="A188" s="2">
        <f t="shared" si="10"/>
        <v>2021</v>
      </c>
      <c r="B188" s="2">
        <f t="shared" si="11"/>
        <v>4</v>
      </c>
      <c r="C188" s="2" t="str">
        <f t="shared" si="12"/>
        <v>일</v>
      </c>
      <c r="D188" s="3">
        <v>44297</v>
      </c>
      <c r="E188" s="7" t="s">
        <v>8</v>
      </c>
      <c r="F188" s="2" t="s">
        <v>8</v>
      </c>
      <c r="I188" s="1">
        <f>+COUNTIF(F$3:$F188,F188)</f>
        <v>50</v>
      </c>
      <c r="K188" s="132" t="str">
        <f t="shared" si="14"/>
        <v>주말</v>
      </c>
    </row>
    <row r="189" spans="1:11" ht="21.75" customHeight="1" x14ac:dyDescent="0.25">
      <c r="A189" s="2">
        <f t="shared" si="10"/>
        <v>2021</v>
      </c>
      <c r="B189" s="2">
        <f t="shared" si="11"/>
        <v>4</v>
      </c>
      <c r="C189" s="2" t="str">
        <f t="shared" si="12"/>
        <v>월</v>
      </c>
      <c r="D189" s="3">
        <v>44298</v>
      </c>
      <c r="E189" s="7" t="s">
        <v>8</v>
      </c>
      <c r="F189" s="2" t="s">
        <v>8</v>
      </c>
      <c r="I189" s="1">
        <f>+COUNTIF(F$3:$F189,F189)</f>
        <v>51</v>
      </c>
      <c r="K189" s="132" t="str">
        <f t="shared" si="14"/>
        <v>평일</v>
      </c>
    </row>
    <row r="190" spans="1:11" ht="21.75" customHeight="1" x14ac:dyDescent="0.25">
      <c r="A190" s="2">
        <f t="shared" si="10"/>
        <v>2021</v>
      </c>
      <c r="B190" s="2">
        <f t="shared" si="11"/>
        <v>4</v>
      </c>
      <c r="C190" s="2" t="str">
        <f t="shared" si="12"/>
        <v>화</v>
      </c>
      <c r="D190" s="3">
        <v>44299</v>
      </c>
      <c r="E190" s="7" t="s">
        <v>8</v>
      </c>
      <c r="F190" s="2" t="s">
        <v>8</v>
      </c>
      <c r="I190" s="1">
        <f>+COUNTIF(F$3:$F190,F190)</f>
        <v>52</v>
      </c>
      <c r="K190" s="132" t="str">
        <f t="shared" si="14"/>
        <v>평일</v>
      </c>
    </row>
    <row r="191" spans="1:11" ht="21.75" customHeight="1" x14ac:dyDescent="0.25">
      <c r="A191" s="2">
        <f t="shared" si="10"/>
        <v>2021</v>
      </c>
      <c r="B191" s="2">
        <f t="shared" si="11"/>
        <v>4</v>
      </c>
      <c r="C191" s="2" t="str">
        <f t="shared" si="12"/>
        <v>수</v>
      </c>
      <c r="D191" s="3">
        <v>44300</v>
      </c>
      <c r="E191" s="7" t="s">
        <v>8</v>
      </c>
      <c r="F191" s="2" t="s">
        <v>8</v>
      </c>
      <c r="I191" s="1">
        <f>+COUNTIF(F$3:$F191,F191)</f>
        <v>53</v>
      </c>
      <c r="K191" s="132" t="str">
        <f t="shared" si="14"/>
        <v>평일</v>
      </c>
    </row>
    <row r="192" spans="1:11" ht="21.75" customHeight="1" x14ac:dyDescent="0.25">
      <c r="A192" s="2">
        <f t="shared" si="10"/>
        <v>2021</v>
      </c>
      <c r="B192" s="2">
        <f t="shared" si="11"/>
        <v>4</v>
      </c>
      <c r="C192" s="2" t="str">
        <f t="shared" si="12"/>
        <v>목</v>
      </c>
      <c r="D192" s="3">
        <v>44301</v>
      </c>
      <c r="E192" s="7" t="s">
        <v>8</v>
      </c>
      <c r="F192" s="2" t="s">
        <v>8</v>
      </c>
      <c r="I192" s="1">
        <f>+COUNTIF(F$3:$F192,F192)</f>
        <v>54</v>
      </c>
      <c r="K192" s="132" t="str">
        <f t="shared" si="14"/>
        <v>평일</v>
      </c>
    </row>
    <row r="193" spans="1:11" ht="21.75" customHeight="1" x14ac:dyDescent="0.25">
      <c r="A193" s="2">
        <f t="shared" si="10"/>
        <v>2021</v>
      </c>
      <c r="B193" s="2">
        <f t="shared" si="11"/>
        <v>4</v>
      </c>
      <c r="C193" s="2" t="str">
        <f t="shared" si="12"/>
        <v>금</v>
      </c>
      <c r="D193" s="3">
        <v>44302</v>
      </c>
      <c r="E193" s="7">
        <v>158</v>
      </c>
      <c r="F193" s="2" t="s">
        <v>5</v>
      </c>
      <c r="G193" s="1">
        <v>55</v>
      </c>
      <c r="H193" s="6">
        <f>+E193-G193</f>
        <v>103</v>
      </c>
      <c r="I193" s="1">
        <f>+COUNTIF(F$3:$F193,F193)</f>
        <v>1</v>
      </c>
      <c r="K193" s="132" t="str">
        <f t="shared" si="14"/>
        <v>평일</v>
      </c>
    </row>
    <row r="194" spans="1:11" ht="21.75" customHeight="1" x14ac:dyDescent="0.25">
      <c r="A194" s="2">
        <f t="shared" si="10"/>
        <v>2021</v>
      </c>
      <c r="B194" s="2">
        <f t="shared" si="11"/>
        <v>4</v>
      </c>
      <c r="C194" s="2" t="str">
        <f t="shared" si="12"/>
        <v>토</v>
      </c>
      <c r="D194" s="3">
        <v>44303</v>
      </c>
      <c r="E194" s="7">
        <v>265</v>
      </c>
      <c r="F194" s="2" t="s">
        <v>5</v>
      </c>
      <c r="G194" s="1">
        <v>21</v>
      </c>
      <c r="H194" s="6">
        <f t="shared" ref="H194:H257" si="15">+E194-G194</f>
        <v>244</v>
      </c>
      <c r="I194" s="1">
        <f>+COUNTIF(F$3:$F194,F194)</f>
        <v>2</v>
      </c>
      <c r="K194" s="132" t="str">
        <f t="shared" si="14"/>
        <v>주말</v>
      </c>
    </row>
    <row r="195" spans="1:11" ht="21.75" customHeight="1" x14ac:dyDescent="0.25">
      <c r="A195" s="2">
        <f t="shared" si="10"/>
        <v>2021</v>
      </c>
      <c r="B195" s="2">
        <f t="shared" si="11"/>
        <v>4</v>
      </c>
      <c r="C195" s="2" t="str">
        <f t="shared" si="12"/>
        <v>일</v>
      </c>
      <c r="D195" s="3">
        <v>44304</v>
      </c>
      <c r="E195" s="7">
        <v>151</v>
      </c>
      <c r="F195" s="2" t="s">
        <v>5</v>
      </c>
      <c r="G195" s="1">
        <v>13</v>
      </c>
      <c r="H195" s="6">
        <f t="shared" si="15"/>
        <v>138</v>
      </c>
      <c r="I195" s="1">
        <f>+COUNTIF(F$3:$F195,F195)</f>
        <v>3</v>
      </c>
      <c r="K195" s="132" t="str">
        <f t="shared" si="14"/>
        <v>주말</v>
      </c>
    </row>
    <row r="196" spans="1:11" ht="21.75" customHeight="1" x14ac:dyDescent="0.25">
      <c r="A196" s="2">
        <f t="shared" ref="A196:A259" si="16">+YEAR(D196)</f>
        <v>2021</v>
      </c>
      <c r="B196" s="2">
        <f t="shared" ref="B196:B259" si="17">+MONTH(D196)</f>
        <v>4</v>
      </c>
      <c r="C196" s="2" t="str">
        <f t="shared" ref="C196:C259" si="18">+TEXT(D196,"aaa")</f>
        <v>월</v>
      </c>
      <c r="D196" s="3">
        <v>44305</v>
      </c>
      <c r="E196" s="7">
        <v>0</v>
      </c>
      <c r="F196" s="2" t="s">
        <v>5</v>
      </c>
      <c r="G196" s="1">
        <v>0</v>
      </c>
      <c r="H196" s="6">
        <f t="shared" si="15"/>
        <v>0</v>
      </c>
      <c r="I196" s="1">
        <f>+COUNTIF(F$3:$F196,F196)</f>
        <v>4</v>
      </c>
      <c r="K196" s="132" t="str">
        <f t="shared" ref="K196:K259" si="19">+IF(OR(C196="토",C196="일"),"주말","평일")</f>
        <v>평일</v>
      </c>
    </row>
    <row r="197" spans="1:11" ht="21.75" customHeight="1" x14ac:dyDescent="0.25">
      <c r="A197" s="2">
        <f t="shared" si="16"/>
        <v>2021</v>
      </c>
      <c r="B197" s="2">
        <f t="shared" si="17"/>
        <v>4</v>
      </c>
      <c r="C197" s="2" t="str">
        <f t="shared" si="18"/>
        <v>화</v>
      </c>
      <c r="D197" s="3">
        <v>44306</v>
      </c>
      <c r="E197" s="7">
        <v>70</v>
      </c>
      <c r="F197" s="2" t="s">
        <v>5</v>
      </c>
      <c r="G197" s="1">
        <v>5</v>
      </c>
      <c r="H197" s="6">
        <f t="shared" si="15"/>
        <v>65</v>
      </c>
      <c r="I197" s="1">
        <f>+COUNTIF(F$3:$F197,F197)</f>
        <v>5</v>
      </c>
      <c r="K197" s="132" t="str">
        <f t="shared" si="19"/>
        <v>평일</v>
      </c>
    </row>
    <row r="198" spans="1:11" ht="21.75" customHeight="1" x14ac:dyDescent="0.25">
      <c r="A198" s="2">
        <f t="shared" si="16"/>
        <v>2021</v>
      </c>
      <c r="B198" s="2">
        <f t="shared" si="17"/>
        <v>4</v>
      </c>
      <c r="C198" s="2" t="str">
        <f t="shared" si="18"/>
        <v>수</v>
      </c>
      <c r="D198" s="3">
        <v>44307</v>
      </c>
      <c r="E198" s="7">
        <v>69</v>
      </c>
      <c r="F198" s="2" t="s">
        <v>5</v>
      </c>
      <c r="G198" s="1">
        <v>16</v>
      </c>
      <c r="H198" s="6">
        <f t="shared" si="15"/>
        <v>53</v>
      </c>
      <c r="I198" s="1">
        <f>+COUNTIF(F$3:$F198,F198)</f>
        <v>6</v>
      </c>
      <c r="K198" s="132" t="str">
        <f t="shared" si="19"/>
        <v>평일</v>
      </c>
    </row>
    <row r="199" spans="1:11" ht="21.75" customHeight="1" x14ac:dyDescent="0.25">
      <c r="A199" s="2">
        <f t="shared" si="16"/>
        <v>2021</v>
      </c>
      <c r="B199" s="2">
        <f t="shared" si="17"/>
        <v>4</v>
      </c>
      <c r="C199" s="2" t="str">
        <f t="shared" si="18"/>
        <v>목</v>
      </c>
      <c r="D199" s="3">
        <v>44308</v>
      </c>
      <c r="E199" s="7">
        <v>132</v>
      </c>
      <c r="F199" s="2" t="s">
        <v>5</v>
      </c>
      <c r="G199" s="1">
        <v>40</v>
      </c>
      <c r="H199" s="6">
        <f t="shared" si="15"/>
        <v>92</v>
      </c>
      <c r="I199" s="1">
        <f>+COUNTIF(F$3:$F199,F199)</f>
        <v>7</v>
      </c>
      <c r="K199" s="132" t="str">
        <f t="shared" si="19"/>
        <v>평일</v>
      </c>
    </row>
    <row r="200" spans="1:11" ht="21.75" customHeight="1" x14ac:dyDescent="0.25">
      <c r="A200" s="2">
        <f t="shared" si="16"/>
        <v>2021</v>
      </c>
      <c r="B200" s="2">
        <f t="shared" si="17"/>
        <v>4</v>
      </c>
      <c r="C200" s="2" t="str">
        <f t="shared" si="18"/>
        <v>금</v>
      </c>
      <c r="D200" s="3">
        <v>44309</v>
      </c>
      <c r="E200" s="7">
        <v>96</v>
      </c>
      <c r="F200" s="2" t="s">
        <v>5</v>
      </c>
      <c r="G200" s="1">
        <v>12</v>
      </c>
      <c r="H200" s="6">
        <f t="shared" si="15"/>
        <v>84</v>
      </c>
      <c r="I200" s="1">
        <f>+COUNTIF(F$3:$F200,F200)</f>
        <v>8</v>
      </c>
      <c r="K200" s="132" t="str">
        <f t="shared" si="19"/>
        <v>평일</v>
      </c>
    </row>
    <row r="201" spans="1:11" ht="21.75" customHeight="1" x14ac:dyDescent="0.25">
      <c r="A201" s="2">
        <f t="shared" si="16"/>
        <v>2021</v>
      </c>
      <c r="B201" s="2">
        <f t="shared" si="17"/>
        <v>4</v>
      </c>
      <c r="C201" s="2" t="str">
        <f t="shared" si="18"/>
        <v>토</v>
      </c>
      <c r="D201" s="3">
        <v>44310</v>
      </c>
      <c r="E201" s="7">
        <v>254</v>
      </c>
      <c r="F201" s="2" t="s">
        <v>5</v>
      </c>
      <c r="G201" s="1">
        <v>35</v>
      </c>
      <c r="H201" s="6">
        <f t="shared" si="15"/>
        <v>219</v>
      </c>
      <c r="I201" s="1">
        <f>+COUNTIF(F$3:$F201,F201)</f>
        <v>9</v>
      </c>
      <c r="K201" s="132" t="str">
        <f t="shared" si="19"/>
        <v>주말</v>
      </c>
    </row>
    <row r="202" spans="1:11" ht="21.75" customHeight="1" x14ac:dyDescent="0.25">
      <c r="A202" s="2">
        <f t="shared" si="16"/>
        <v>2021</v>
      </c>
      <c r="B202" s="2">
        <f t="shared" si="17"/>
        <v>4</v>
      </c>
      <c r="C202" s="2" t="str">
        <f t="shared" si="18"/>
        <v>일</v>
      </c>
      <c r="D202" s="3">
        <v>44311</v>
      </c>
      <c r="E202" s="7">
        <v>164</v>
      </c>
      <c r="F202" s="2" t="s">
        <v>5</v>
      </c>
      <c r="G202" s="1">
        <v>31</v>
      </c>
      <c r="H202" s="6">
        <f t="shared" si="15"/>
        <v>133</v>
      </c>
      <c r="I202" s="1">
        <f>+COUNTIF(F$3:$F202,F202)</f>
        <v>10</v>
      </c>
      <c r="K202" s="132" t="str">
        <f t="shared" si="19"/>
        <v>주말</v>
      </c>
    </row>
    <row r="203" spans="1:11" ht="21.75" customHeight="1" x14ac:dyDescent="0.25">
      <c r="A203" s="2">
        <f t="shared" si="16"/>
        <v>2021</v>
      </c>
      <c r="B203" s="2">
        <f t="shared" si="17"/>
        <v>4</v>
      </c>
      <c r="C203" s="2" t="str">
        <f t="shared" si="18"/>
        <v>월</v>
      </c>
      <c r="D203" s="3">
        <v>44312</v>
      </c>
      <c r="E203" s="7">
        <v>106</v>
      </c>
      <c r="F203" s="2" t="s">
        <v>5</v>
      </c>
      <c r="G203" s="1">
        <v>21</v>
      </c>
      <c r="H203" s="6">
        <f t="shared" si="15"/>
        <v>85</v>
      </c>
      <c r="I203" s="1">
        <f>+COUNTIF(F$3:$F203,F203)</f>
        <v>11</v>
      </c>
      <c r="K203" s="132" t="str">
        <f t="shared" si="19"/>
        <v>평일</v>
      </c>
    </row>
    <row r="204" spans="1:11" ht="21.75" customHeight="1" x14ac:dyDescent="0.25">
      <c r="A204" s="2">
        <f t="shared" si="16"/>
        <v>2021</v>
      </c>
      <c r="B204" s="2">
        <f t="shared" si="17"/>
        <v>4</v>
      </c>
      <c r="C204" s="2" t="str">
        <f t="shared" si="18"/>
        <v>화</v>
      </c>
      <c r="D204" s="3">
        <v>44313</v>
      </c>
      <c r="E204" s="7">
        <v>54</v>
      </c>
      <c r="F204" s="2" t="s">
        <v>5</v>
      </c>
      <c r="G204" s="1">
        <v>6</v>
      </c>
      <c r="H204" s="6">
        <f t="shared" si="15"/>
        <v>48</v>
      </c>
      <c r="I204" s="1">
        <f>+COUNTIF(F$3:$F204,F204)</f>
        <v>12</v>
      </c>
      <c r="K204" s="132" t="str">
        <f t="shared" si="19"/>
        <v>평일</v>
      </c>
    </row>
    <row r="205" spans="1:11" ht="21.75" customHeight="1" x14ac:dyDescent="0.25">
      <c r="A205" s="2">
        <f t="shared" si="16"/>
        <v>2021</v>
      </c>
      <c r="B205" s="2">
        <f t="shared" si="17"/>
        <v>4</v>
      </c>
      <c r="C205" s="2" t="str">
        <f t="shared" si="18"/>
        <v>수</v>
      </c>
      <c r="D205" s="3">
        <v>44314</v>
      </c>
      <c r="E205" s="7">
        <v>90</v>
      </c>
      <c r="F205" s="2" t="s">
        <v>5</v>
      </c>
      <c r="G205" s="1">
        <v>6</v>
      </c>
      <c r="H205" s="6">
        <f t="shared" si="15"/>
        <v>84</v>
      </c>
      <c r="I205" s="1">
        <f>+COUNTIF(F$3:$F205,F205)</f>
        <v>13</v>
      </c>
      <c r="K205" s="132" t="str">
        <f t="shared" si="19"/>
        <v>평일</v>
      </c>
    </row>
    <row r="206" spans="1:11" ht="21.75" customHeight="1" x14ac:dyDescent="0.25">
      <c r="A206" s="2">
        <f t="shared" si="16"/>
        <v>2021</v>
      </c>
      <c r="B206" s="2">
        <f t="shared" si="17"/>
        <v>4</v>
      </c>
      <c r="C206" s="2" t="str">
        <f t="shared" si="18"/>
        <v>목</v>
      </c>
      <c r="D206" s="3">
        <v>44315</v>
      </c>
      <c r="E206" s="7">
        <v>104</v>
      </c>
      <c r="F206" s="2" t="s">
        <v>5</v>
      </c>
      <c r="G206" s="1">
        <v>17</v>
      </c>
      <c r="H206" s="6">
        <f t="shared" si="15"/>
        <v>87</v>
      </c>
      <c r="I206" s="1">
        <f>+COUNTIF(F$3:$F206,F206)</f>
        <v>14</v>
      </c>
      <c r="K206" s="132" t="str">
        <f t="shared" si="19"/>
        <v>평일</v>
      </c>
    </row>
    <row r="207" spans="1:11" ht="21.75" customHeight="1" x14ac:dyDescent="0.25">
      <c r="A207" s="2">
        <f t="shared" si="16"/>
        <v>2021</v>
      </c>
      <c r="B207" s="2">
        <f t="shared" si="17"/>
        <v>4</v>
      </c>
      <c r="C207" s="2" t="str">
        <f t="shared" si="18"/>
        <v>금</v>
      </c>
      <c r="D207" s="3">
        <v>44316</v>
      </c>
      <c r="E207" s="7">
        <v>99</v>
      </c>
      <c r="F207" s="2" t="s">
        <v>5</v>
      </c>
      <c r="G207" s="1">
        <v>16</v>
      </c>
      <c r="H207" s="6">
        <f t="shared" si="15"/>
        <v>83</v>
      </c>
      <c r="I207" s="1">
        <f>+COUNTIF(F$3:$F207,F207)</f>
        <v>15</v>
      </c>
      <c r="K207" s="132" t="str">
        <f t="shared" si="19"/>
        <v>평일</v>
      </c>
    </row>
    <row r="208" spans="1:11" ht="21.75" customHeight="1" x14ac:dyDescent="0.25">
      <c r="A208" s="2">
        <f t="shared" si="16"/>
        <v>2021</v>
      </c>
      <c r="B208" s="2">
        <f t="shared" si="17"/>
        <v>5</v>
      </c>
      <c r="C208" s="2" t="str">
        <f t="shared" si="18"/>
        <v>토</v>
      </c>
      <c r="D208" s="3">
        <v>44317</v>
      </c>
      <c r="E208" s="7">
        <v>281</v>
      </c>
      <c r="F208" s="2" t="s">
        <v>5</v>
      </c>
      <c r="G208" s="1">
        <v>33</v>
      </c>
      <c r="H208" s="6">
        <f t="shared" si="15"/>
        <v>248</v>
      </c>
      <c r="I208" s="1">
        <f>+COUNTIF(F$3:$F208,F208)</f>
        <v>16</v>
      </c>
      <c r="K208" s="132" t="str">
        <f t="shared" si="19"/>
        <v>주말</v>
      </c>
    </row>
    <row r="209" spans="1:11" ht="21.75" customHeight="1" x14ac:dyDescent="0.25">
      <c r="A209" s="2">
        <f t="shared" si="16"/>
        <v>2021</v>
      </c>
      <c r="B209" s="2">
        <f t="shared" si="17"/>
        <v>5</v>
      </c>
      <c r="C209" s="2" t="str">
        <f t="shared" si="18"/>
        <v>일</v>
      </c>
      <c r="D209" s="3">
        <v>44318</v>
      </c>
      <c r="E209" s="7">
        <v>236</v>
      </c>
      <c r="F209" s="2" t="s">
        <v>5</v>
      </c>
      <c r="G209" s="1">
        <v>19</v>
      </c>
      <c r="H209" s="6">
        <f t="shared" si="15"/>
        <v>217</v>
      </c>
      <c r="I209" s="1">
        <f>+COUNTIF(F$3:$F209,F209)</f>
        <v>17</v>
      </c>
      <c r="K209" s="132" t="str">
        <f t="shared" si="19"/>
        <v>주말</v>
      </c>
    </row>
    <row r="210" spans="1:11" ht="21.75" customHeight="1" x14ac:dyDescent="0.25">
      <c r="A210" s="2">
        <f t="shared" si="16"/>
        <v>2021</v>
      </c>
      <c r="B210" s="2">
        <f t="shared" si="17"/>
        <v>5</v>
      </c>
      <c r="C210" s="2" t="str">
        <f t="shared" si="18"/>
        <v>월</v>
      </c>
      <c r="D210" s="3">
        <v>44319</v>
      </c>
      <c r="E210" s="7">
        <v>105</v>
      </c>
      <c r="F210" s="2" t="s">
        <v>5</v>
      </c>
      <c r="G210" s="1">
        <v>14</v>
      </c>
      <c r="H210" s="6">
        <f t="shared" si="15"/>
        <v>91</v>
      </c>
      <c r="I210" s="1">
        <f>+COUNTIF(F$3:$F210,F210)</f>
        <v>18</v>
      </c>
      <c r="K210" s="132" t="str">
        <f t="shared" si="19"/>
        <v>평일</v>
      </c>
    </row>
    <row r="211" spans="1:11" ht="21.75" customHeight="1" x14ac:dyDescent="0.25">
      <c r="A211" s="2">
        <f t="shared" si="16"/>
        <v>2021</v>
      </c>
      <c r="B211" s="2">
        <f t="shared" si="17"/>
        <v>5</v>
      </c>
      <c r="C211" s="2" t="str">
        <f t="shared" si="18"/>
        <v>화</v>
      </c>
      <c r="D211" s="3">
        <v>44320</v>
      </c>
      <c r="E211" s="7">
        <v>93</v>
      </c>
      <c r="F211" s="2" t="s">
        <v>5</v>
      </c>
      <c r="G211" s="1">
        <v>32</v>
      </c>
      <c r="H211" s="6">
        <f t="shared" si="15"/>
        <v>61</v>
      </c>
      <c r="I211" s="1">
        <f>+COUNTIF(F$3:$F211,F211)</f>
        <v>19</v>
      </c>
      <c r="K211" s="132" t="str">
        <f t="shared" si="19"/>
        <v>평일</v>
      </c>
    </row>
    <row r="212" spans="1:11" ht="21.75" customHeight="1" x14ac:dyDescent="0.25">
      <c r="A212" s="2">
        <f t="shared" si="16"/>
        <v>2021</v>
      </c>
      <c r="B212" s="2">
        <f t="shared" si="17"/>
        <v>5</v>
      </c>
      <c r="C212" s="2" t="str">
        <f t="shared" si="18"/>
        <v>수</v>
      </c>
      <c r="D212" s="3">
        <v>44321</v>
      </c>
      <c r="E212" s="7">
        <v>217</v>
      </c>
      <c r="F212" s="2" t="s">
        <v>5</v>
      </c>
      <c r="G212" s="1">
        <v>37</v>
      </c>
      <c r="H212" s="6">
        <f t="shared" si="15"/>
        <v>180</v>
      </c>
      <c r="I212" s="1">
        <f>+COUNTIF(F$3:$F212,F212)</f>
        <v>20</v>
      </c>
      <c r="K212" s="132" t="str">
        <f t="shared" si="19"/>
        <v>평일</v>
      </c>
    </row>
    <row r="213" spans="1:11" ht="21.75" customHeight="1" x14ac:dyDescent="0.25">
      <c r="A213" s="2">
        <f t="shared" si="16"/>
        <v>2021</v>
      </c>
      <c r="B213" s="2">
        <f t="shared" si="17"/>
        <v>5</v>
      </c>
      <c r="C213" s="2" t="str">
        <f t="shared" si="18"/>
        <v>목</v>
      </c>
      <c r="D213" s="3">
        <v>44322</v>
      </c>
      <c r="E213" s="7">
        <v>121</v>
      </c>
      <c r="F213" s="2" t="s">
        <v>5</v>
      </c>
      <c r="G213" s="1">
        <v>24</v>
      </c>
      <c r="H213" s="6">
        <f t="shared" si="15"/>
        <v>97</v>
      </c>
      <c r="I213" s="1">
        <f>+COUNTIF(F$3:$F213,F213)</f>
        <v>21</v>
      </c>
      <c r="K213" s="132" t="str">
        <f t="shared" si="19"/>
        <v>평일</v>
      </c>
    </row>
    <row r="214" spans="1:11" ht="21.75" customHeight="1" x14ac:dyDescent="0.25">
      <c r="A214" s="2">
        <f t="shared" si="16"/>
        <v>2021</v>
      </c>
      <c r="B214" s="2">
        <f t="shared" si="17"/>
        <v>5</v>
      </c>
      <c r="C214" s="2" t="str">
        <f t="shared" si="18"/>
        <v>금</v>
      </c>
      <c r="D214" s="3">
        <v>44323</v>
      </c>
      <c r="E214" s="7">
        <v>76</v>
      </c>
      <c r="F214" s="2" t="s">
        <v>5</v>
      </c>
      <c r="G214" s="1">
        <v>8</v>
      </c>
      <c r="H214" s="6">
        <f t="shared" si="15"/>
        <v>68</v>
      </c>
      <c r="I214" s="1">
        <f>+COUNTIF(F$3:$F214,F214)</f>
        <v>22</v>
      </c>
      <c r="K214" s="132" t="str">
        <f t="shared" si="19"/>
        <v>평일</v>
      </c>
    </row>
    <row r="215" spans="1:11" ht="21.75" customHeight="1" x14ac:dyDescent="0.25">
      <c r="A215" s="2">
        <f t="shared" si="16"/>
        <v>2021</v>
      </c>
      <c r="B215" s="2">
        <f t="shared" si="17"/>
        <v>5</v>
      </c>
      <c r="C215" s="2" t="str">
        <f t="shared" si="18"/>
        <v>토</v>
      </c>
      <c r="D215" s="3">
        <v>44324</v>
      </c>
      <c r="E215" s="7">
        <v>283</v>
      </c>
      <c r="F215" s="2" t="s">
        <v>5</v>
      </c>
      <c r="G215" s="1">
        <v>39</v>
      </c>
      <c r="H215" s="6">
        <f t="shared" si="15"/>
        <v>244</v>
      </c>
      <c r="I215" s="1">
        <f>+COUNTIF(F$3:$F215,F215)</f>
        <v>23</v>
      </c>
      <c r="K215" s="132" t="str">
        <f t="shared" si="19"/>
        <v>주말</v>
      </c>
    </row>
    <row r="216" spans="1:11" ht="21.75" customHeight="1" x14ac:dyDescent="0.25">
      <c r="A216" s="2">
        <f t="shared" si="16"/>
        <v>2021</v>
      </c>
      <c r="B216" s="2">
        <f t="shared" si="17"/>
        <v>5</v>
      </c>
      <c r="C216" s="2" t="str">
        <f t="shared" si="18"/>
        <v>일</v>
      </c>
      <c r="D216" s="3">
        <v>44325</v>
      </c>
      <c r="E216" s="7">
        <v>229</v>
      </c>
      <c r="F216" s="2" t="s">
        <v>5</v>
      </c>
      <c r="G216" s="1">
        <v>9</v>
      </c>
      <c r="H216" s="6">
        <f t="shared" si="15"/>
        <v>220</v>
      </c>
      <c r="I216" s="1">
        <f>+COUNTIF(F$3:$F216,F216)</f>
        <v>24</v>
      </c>
      <c r="K216" s="132" t="str">
        <f t="shared" si="19"/>
        <v>주말</v>
      </c>
    </row>
    <row r="217" spans="1:11" ht="21.75" customHeight="1" x14ac:dyDescent="0.25">
      <c r="A217" s="2">
        <f t="shared" si="16"/>
        <v>2021</v>
      </c>
      <c r="B217" s="2">
        <f t="shared" si="17"/>
        <v>5</v>
      </c>
      <c r="C217" s="2" t="str">
        <f t="shared" si="18"/>
        <v>월</v>
      </c>
      <c r="D217" s="3">
        <v>44326</v>
      </c>
      <c r="E217" s="7">
        <v>80</v>
      </c>
      <c r="F217" s="2" t="s">
        <v>5</v>
      </c>
      <c r="G217" s="1">
        <v>11</v>
      </c>
      <c r="H217" s="6">
        <f t="shared" si="15"/>
        <v>69</v>
      </c>
      <c r="I217" s="1">
        <f>+COUNTIF(F$3:$F217,F217)</f>
        <v>25</v>
      </c>
      <c r="K217" s="132" t="str">
        <f t="shared" si="19"/>
        <v>평일</v>
      </c>
    </row>
    <row r="218" spans="1:11" ht="21.75" customHeight="1" x14ac:dyDescent="0.25">
      <c r="A218" s="2">
        <f t="shared" si="16"/>
        <v>2021</v>
      </c>
      <c r="B218" s="2">
        <f t="shared" si="17"/>
        <v>5</v>
      </c>
      <c r="C218" s="2" t="str">
        <f t="shared" si="18"/>
        <v>화</v>
      </c>
      <c r="D218" s="3">
        <v>44327</v>
      </c>
      <c r="E218" s="7">
        <v>56</v>
      </c>
      <c r="F218" s="2" t="s">
        <v>5</v>
      </c>
      <c r="G218" s="1">
        <v>12</v>
      </c>
      <c r="H218" s="6">
        <f t="shared" si="15"/>
        <v>44</v>
      </c>
      <c r="I218" s="1">
        <f>+COUNTIF(F$3:$F218,F218)</f>
        <v>26</v>
      </c>
      <c r="K218" s="132" t="str">
        <f t="shared" si="19"/>
        <v>평일</v>
      </c>
    </row>
    <row r="219" spans="1:11" ht="21.75" customHeight="1" x14ac:dyDescent="0.25">
      <c r="A219" s="2">
        <f t="shared" si="16"/>
        <v>2021</v>
      </c>
      <c r="B219" s="2">
        <f t="shared" si="17"/>
        <v>5</v>
      </c>
      <c r="C219" s="2" t="str">
        <f t="shared" si="18"/>
        <v>수</v>
      </c>
      <c r="D219" s="3">
        <v>44328</v>
      </c>
      <c r="E219" s="7">
        <v>55</v>
      </c>
      <c r="F219" s="2" t="s">
        <v>5</v>
      </c>
      <c r="G219" s="1">
        <v>14</v>
      </c>
      <c r="H219" s="6">
        <f t="shared" si="15"/>
        <v>41</v>
      </c>
      <c r="I219" s="1">
        <f>+COUNTIF(F$3:$F219,F219)</f>
        <v>27</v>
      </c>
      <c r="K219" s="132" t="str">
        <f t="shared" si="19"/>
        <v>평일</v>
      </c>
    </row>
    <row r="220" spans="1:11" ht="21.75" customHeight="1" x14ac:dyDescent="0.25">
      <c r="A220" s="2">
        <f t="shared" si="16"/>
        <v>2021</v>
      </c>
      <c r="B220" s="2">
        <f t="shared" si="17"/>
        <v>5</v>
      </c>
      <c r="C220" s="2" t="str">
        <f t="shared" si="18"/>
        <v>목</v>
      </c>
      <c r="D220" s="3">
        <v>44329</v>
      </c>
      <c r="E220" s="7">
        <v>61</v>
      </c>
      <c r="F220" s="2" t="s">
        <v>5</v>
      </c>
      <c r="G220" s="1">
        <v>20</v>
      </c>
      <c r="H220" s="6">
        <f t="shared" si="15"/>
        <v>41</v>
      </c>
      <c r="I220" s="1">
        <f>+COUNTIF(F$3:$F220,F220)</f>
        <v>28</v>
      </c>
      <c r="K220" s="132" t="str">
        <f t="shared" si="19"/>
        <v>평일</v>
      </c>
    </row>
    <row r="221" spans="1:11" ht="21.75" customHeight="1" x14ac:dyDescent="0.25">
      <c r="A221" s="2">
        <f t="shared" si="16"/>
        <v>2021</v>
      </c>
      <c r="B221" s="2">
        <f t="shared" si="17"/>
        <v>5</v>
      </c>
      <c r="C221" s="2" t="str">
        <f t="shared" si="18"/>
        <v>금</v>
      </c>
      <c r="D221" s="3">
        <v>44330</v>
      </c>
      <c r="E221" s="7">
        <v>86</v>
      </c>
      <c r="F221" s="2" t="s">
        <v>5</v>
      </c>
      <c r="G221" s="1">
        <v>24</v>
      </c>
      <c r="H221" s="6">
        <f t="shared" si="15"/>
        <v>62</v>
      </c>
      <c r="I221" s="1">
        <f>+COUNTIF(F$3:$F221,F221)</f>
        <v>29</v>
      </c>
      <c r="K221" s="132" t="str">
        <f t="shared" si="19"/>
        <v>평일</v>
      </c>
    </row>
    <row r="222" spans="1:11" ht="21.75" customHeight="1" x14ac:dyDescent="0.25">
      <c r="A222" s="2">
        <f t="shared" si="16"/>
        <v>2021</v>
      </c>
      <c r="B222" s="2">
        <f t="shared" si="17"/>
        <v>5</v>
      </c>
      <c r="C222" s="2" t="str">
        <f t="shared" si="18"/>
        <v>토</v>
      </c>
      <c r="D222" s="3">
        <v>44331</v>
      </c>
      <c r="E222" s="7">
        <v>283</v>
      </c>
      <c r="F222" s="2" t="s">
        <v>5</v>
      </c>
      <c r="G222" s="1">
        <v>28</v>
      </c>
      <c r="H222" s="6">
        <f t="shared" si="15"/>
        <v>255</v>
      </c>
      <c r="I222" s="1">
        <f>+COUNTIF(F$3:$F222,F222)</f>
        <v>30</v>
      </c>
      <c r="K222" s="132" t="str">
        <f t="shared" si="19"/>
        <v>주말</v>
      </c>
    </row>
    <row r="223" spans="1:11" ht="21.75" customHeight="1" x14ac:dyDescent="0.25">
      <c r="A223" s="2">
        <f t="shared" si="16"/>
        <v>2021</v>
      </c>
      <c r="B223" s="2">
        <f t="shared" si="17"/>
        <v>5</v>
      </c>
      <c r="C223" s="2" t="str">
        <f t="shared" si="18"/>
        <v>일</v>
      </c>
      <c r="D223" s="3">
        <v>44332</v>
      </c>
      <c r="E223" s="7">
        <v>281</v>
      </c>
      <c r="F223" s="2" t="s">
        <v>5</v>
      </c>
      <c r="G223" s="1">
        <v>47</v>
      </c>
      <c r="H223" s="6">
        <f t="shared" si="15"/>
        <v>234</v>
      </c>
      <c r="I223" s="1">
        <f>+COUNTIF(F$3:$F223,F223)</f>
        <v>31</v>
      </c>
      <c r="K223" s="132" t="str">
        <f t="shared" si="19"/>
        <v>주말</v>
      </c>
    </row>
    <row r="224" spans="1:11" ht="21.75" customHeight="1" x14ac:dyDescent="0.25">
      <c r="A224" s="2">
        <f t="shared" si="16"/>
        <v>2021</v>
      </c>
      <c r="B224" s="2">
        <f t="shared" si="17"/>
        <v>5</v>
      </c>
      <c r="C224" s="2" t="str">
        <f t="shared" si="18"/>
        <v>월</v>
      </c>
      <c r="D224" s="3">
        <v>44333</v>
      </c>
      <c r="E224" s="7">
        <v>60</v>
      </c>
      <c r="F224" s="2" t="s">
        <v>5</v>
      </c>
      <c r="G224" s="1">
        <v>4</v>
      </c>
      <c r="H224" s="6">
        <f t="shared" si="15"/>
        <v>56</v>
      </c>
      <c r="I224" s="1">
        <f>+COUNTIF(F$3:$F224,F224)</f>
        <v>32</v>
      </c>
      <c r="K224" s="132" t="str">
        <f t="shared" si="19"/>
        <v>평일</v>
      </c>
    </row>
    <row r="225" spans="1:11" ht="21.75" customHeight="1" x14ac:dyDescent="0.25">
      <c r="A225" s="2">
        <f t="shared" si="16"/>
        <v>2021</v>
      </c>
      <c r="B225" s="2">
        <f t="shared" si="17"/>
        <v>5</v>
      </c>
      <c r="C225" s="2" t="str">
        <f t="shared" si="18"/>
        <v>화</v>
      </c>
      <c r="D225" s="3">
        <v>44334</v>
      </c>
      <c r="E225" s="7">
        <v>83</v>
      </c>
      <c r="F225" s="2" t="s">
        <v>5</v>
      </c>
      <c r="G225" s="1">
        <v>18</v>
      </c>
      <c r="H225" s="6">
        <f t="shared" si="15"/>
        <v>65</v>
      </c>
      <c r="I225" s="1">
        <f>+COUNTIF(F$3:$F225,F225)</f>
        <v>33</v>
      </c>
      <c r="K225" s="132" t="str">
        <f t="shared" si="19"/>
        <v>평일</v>
      </c>
    </row>
    <row r="226" spans="1:11" ht="21.75" customHeight="1" x14ac:dyDescent="0.25">
      <c r="A226" s="2">
        <f t="shared" si="16"/>
        <v>2021</v>
      </c>
      <c r="B226" s="2">
        <f t="shared" si="17"/>
        <v>5</v>
      </c>
      <c r="C226" s="2" t="str">
        <f t="shared" si="18"/>
        <v>수</v>
      </c>
      <c r="D226" s="3">
        <v>44335</v>
      </c>
      <c r="E226" s="7">
        <v>248</v>
      </c>
      <c r="F226" s="2" t="s">
        <v>5</v>
      </c>
      <c r="G226" s="1">
        <v>55</v>
      </c>
      <c r="H226" s="6">
        <f t="shared" si="15"/>
        <v>193</v>
      </c>
      <c r="I226" s="1">
        <f>+COUNTIF(F$3:$F226,F226)</f>
        <v>34</v>
      </c>
      <c r="K226" s="132" t="str">
        <f t="shared" si="19"/>
        <v>평일</v>
      </c>
    </row>
    <row r="227" spans="1:11" ht="21.75" customHeight="1" x14ac:dyDescent="0.25">
      <c r="A227" s="2">
        <f t="shared" si="16"/>
        <v>2021</v>
      </c>
      <c r="B227" s="2">
        <f t="shared" si="17"/>
        <v>5</v>
      </c>
      <c r="C227" s="2" t="str">
        <f t="shared" si="18"/>
        <v>목</v>
      </c>
      <c r="D227" s="3">
        <v>44336</v>
      </c>
      <c r="E227" s="7">
        <v>65</v>
      </c>
      <c r="F227" s="2" t="s">
        <v>5</v>
      </c>
      <c r="G227" s="1">
        <v>8</v>
      </c>
      <c r="H227" s="6">
        <f t="shared" si="15"/>
        <v>57</v>
      </c>
      <c r="I227" s="1">
        <f>+COUNTIF(F$3:$F227,F227)</f>
        <v>35</v>
      </c>
      <c r="K227" s="132" t="str">
        <f t="shared" si="19"/>
        <v>평일</v>
      </c>
    </row>
    <row r="228" spans="1:11" ht="21.75" customHeight="1" x14ac:dyDescent="0.25">
      <c r="A228" s="2">
        <f t="shared" si="16"/>
        <v>2021</v>
      </c>
      <c r="B228" s="2">
        <f t="shared" si="17"/>
        <v>5</v>
      </c>
      <c r="C228" s="2" t="str">
        <f t="shared" si="18"/>
        <v>금</v>
      </c>
      <c r="D228" s="3">
        <v>44337</v>
      </c>
      <c r="E228" s="7">
        <v>192</v>
      </c>
      <c r="F228" s="2" t="s">
        <v>5</v>
      </c>
      <c r="G228" s="1">
        <v>45</v>
      </c>
      <c r="H228" s="6">
        <f t="shared" si="15"/>
        <v>147</v>
      </c>
      <c r="I228" s="1">
        <f>+COUNTIF(F$3:$F228,F228)</f>
        <v>36</v>
      </c>
      <c r="K228" s="132" t="str">
        <f t="shared" si="19"/>
        <v>평일</v>
      </c>
    </row>
    <row r="229" spans="1:11" ht="21.75" customHeight="1" x14ac:dyDescent="0.25">
      <c r="A229" s="2">
        <f t="shared" si="16"/>
        <v>2021</v>
      </c>
      <c r="B229" s="2">
        <f t="shared" si="17"/>
        <v>5</v>
      </c>
      <c r="C229" s="2" t="str">
        <f t="shared" si="18"/>
        <v>토</v>
      </c>
      <c r="D229" s="3">
        <v>44338</v>
      </c>
      <c r="E229" s="7">
        <v>354</v>
      </c>
      <c r="F229" s="2" t="s">
        <v>5</v>
      </c>
      <c r="G229" s="1">
        <v>66</v>
      </c>
      <c r="H229" s="6">
        <f t="shared" si="15"/>
        <v>288</v>
      </c>
      <c r="I229" s="1">
        <f>+COUNTIF(F$3:$F229,F229)</f>
        <v>37</v>
      </c>
      <c r="K229" s="132" t="str">
        <f t="shared" si="19"/>
        <v>주말</v>
      </c>
    </row>
    <row r="230" spans="1:11" ht="21.75" customHeight="1" x14ac:dyDescent="0.25">
      <c r="A230" s="2">
        <f t="shared" si="16"/>
        <v>2021</v>
      </c>
      <c r="B230" s="2">
        <f t="shared" si="17"/>
        <v>5</v>
      </c>
      <c r="C230" s="2" t="str">
        <f t="shared" si="18"/>
        <v>일</v>
      </c>
      <c r="D230" s="3">
        <v>44339</v>
      </c>
      <c r="E230" s="7">
        <v>224</v>
      </c>
      <c r="F230" s="2" t="s">
        <v>5</v>
      </c>
      <c r="G230" s="1">
        <v>32</v>
      </c>
      <c r="H230" s="6">
        <f t="shared" si="15"/>
        <v>192</v>
      </c>
      <c r="I230" s="1">
        <f>+COUNTIF(F$3:$F230,F230)</f>
        <v>38</v>
      </c>
      <c r="K230" s="132" t="str">
        <f t="shared" si="19"/>
        <v>주말</v>
      </c>
    </row>
    <row r="231" spans="1:11" ht="21.75" customHeight="1" x14ac:dyDescent="0.25">
      <c r="A231" s="2">
        <f t="shared" si="16"/>
        <v>2021</v>
      </c>
      <c r="B231" s="2">
        <f t="shared" si="17"/>
        <v>5</v>
      </c>
      <c r="C231" s="2" t="str">
        <f t="shared" si="18"/>
        <v>월</v>
      </c>
      <c r="D231" s="3">
        <v>44340</v>
      </c>
      <c r="E231" s="7">
        <v>0</v>
      </c>
      <c r="F231" s="2" t="s">
        <v>5</v>
      </c>
      <c r="G231" s="1">
        <v>0</v>
      </c>
      <c r="H231" s="6">
        <f t="shared" si="15"/>
        <v>0</v>
      </c>
      <c r="I231" s="1">
        <f>+COUNTIF(F$3:$F231,F231)</f>
        <v>39</v>
      </c>
      <c r="K231" s="132" t="str">
        <f t="shared" si="19"/>
        <v>평일</v>
      </c>
    </row>
    <row r="232" spans="1:11" ht="21.75" customHeight="1" x14ac:dyDescent="0.25">
      <c r="A232" s="2">
        <f t="shared" si="16"/>
        <v>2021</v>
      </c>
      <c r="B232" s="2">
        <f t="shared" si="17"/>
        <v>5</v>
      </c>
      <c r="C232" s="2" t="str">
        <f t="shared" si="18"/>
        <v>화</v>
      </c>
      <c r="D232" s="3">
        <v>44341</v>
      </c>
      <c r="E232" s="7">
        <v>99</v>
      </c>
      <c r="F232" s="2" t="s">
        <v>5</v>
      </c>
      <c r="G232" s="1">
        <v>10</v>
      </c>
      <c r="H232" s="6">
        <f t="shared" si="15"/>
        <v>89</v>
      </c>
      <c r="I232" s="1">
        <f>+COUNTIF(F$3:$F232,F232)</f>
        <v>40</v>
      </c>
      <c r="K232" s="132" t="str">
        <f t="shared" si="19"/>
        <v>평일</v>
      </c>
    </row>
    <row r="233" spans="1:11" ht="21.75" customHeight="1" x14ac:dyDescent="0.25">
      <c r="A233" s="2">
        <f t="shared" si="16"/>
        <v>2021</v>
      </c>
      <c r="B233" s="2">
        <f t="shared" si="17"/>
        <v>5</v>
      </c>
      <c r="C233" s="2" t="str">
        <f t="shared" si="18"/>
        <v>수</v>
      </c>
      <c r="D233" s="3">
        <v>44342</v>
      </c>
      <c r="E233" s="7">
        <v>105</v>
      </c>
      <c r="F233" s="2" t="s">
        <v>5</v>
      </c>
      <c r="G233" s="1">
        <v>6</v>
      </c>
      <c r="H233" s="6">
        <f t="shared" si="15"/>
        <v>99</v>
      </c>
      <c r="I233" s="1">
        <f>+COUNTIF(F$3:$F233,F233)</f>
        <v>41</v>
      </c>
      <c r="K233" s="132" t="str">
        <f t="shared" si="19"/>
        <v>평일</v>
      </c>
    </row>
    <row r="234" spans="1:11" ht="21.75" customHeight="1" x14ac:dyDescent="0.25">
      <c r="A234" s="2">
        <f t="shared" si="16"/>
        <v>2021</v>
      </c>
      <c r="B234" s="2">
        <f t="shared" si="17"/>
        <v>5</v>
      </c>
      <c r="C234" s="2" t="str">
        <f t="shared" si="18"/>
        <v>목</v>
      </c>
      <c r="D234" s="3">
        <v>44343</v>
      </c>
      <c r="E234" s="7">
        <v>51</v>
      </c>
      <c r="F234" s="2" t="s">
        <v>5</v>
      </c>
      <c r="G234" s="1">
        <v>15</v>
      </c>
      <c r="H234" s="6">
        <f t="shared" si="15"/>
        <v>36</v>
      </c>
      <c r="I234" s="1">
        <f>+COUNTIF(F$3:$F234,F234)</f>
        <v>42</v>
      </c>
      <c r="K234" s="132" t="str">
        <f t="shared" si="19"/>
        <v>평일</v>
      </c>
    </row>
    <row r="235" spans="1:11" ht="21.75" customHeight="1" x14ac:dyDescent="0.25">
      <c r="A235" s="2">
        <f t="shared" si="16"/>
        <v>2021</v>
      </c>
      <c r="B235" s="2">
        <f t="shared" si="17"/>
        <v>5</v>
      </c>
      <c r="C235" s="2" t="str">
        <f t="shared" si="18"/>
        <v>금</v>
      </c>
      <c r="D235" s="3">
        <v>44344</v>
      </c>
      <c r="E235" s="7">
        <v>76</v>
      </c>
      <c r="F235" s="2" t="s">
        <v>5</v>
      </c>
      <c r="G235" s="1">
        <v>34</v>
      </c>
      <c r="H235" s="6">
        <f t="shared" si="15"/>
        <v>42</v>
      </c>
      <c r="I235" s="1">
        <f>+COUNTIF(F$3:$F235,F235)</f>
        <v>43</v>
      </c>
      <c r="K235" s="132" t="str">
        <f t="shared" si="19"/>
        <v>평일</v>
      </c>
    </row>
    <row r="236" spans="1:11" ht="21.75" customHeight="1" x14ac:dyDescent="0.25">
      <c r="A236" s="2">
        <f t="shared" si="16"/>
        <v>2021</v>
      </c>
      <c r="B236" s="2">
        <f t="shared" si="17"/>
        <v>5</v>
      </c>
      <c r="C236" s="2" t="str">
        <f t="shared" si="18"/>
        <v>토</v>
      </c>
      <c r="D236" s="3">
        <v>44345</v>
      </c>
      <c r="E236" s="7">
        <v>251</v>
      </c>
      <c r="F236" s="2" t="s">
        <v>5</v>
      </c>
      <c r="G236" s="1">
        <v>68</v>
      </c>
      <c r="H236" s="6">
        <f t="shared" si="15"/>
        <v>183</v>
      </c>
      <c r="I236" s="1">
        <f>+COUNTIF(F$3:$F236,F236)</f>
        <v>44</v>
      </c>
      <c r="K236" s="132" t="str">
        <f t="shared" si="19"/>
        <v>주말</v>
      </c>
    </row>
    <row r="237" spans="1:11" ht="21.75" customHeight="1" x14ac:dyDescent="0.25">
      <c r="A237" s="2">
        <f t="shared" si="16"/>
        <v>2021</v>
      </c>
      <c r="B237" s="2">
        <f t="shared" si="17"/>
        <v>5</v>
      </c>
      <c r="C237" s="2" t="str">
        <f t="shared" si="18"/>
        <v>일</v>
      </c>
      <c r="D237" s="3">
        <v>44346</v>
      </c>
      <c r="E237" s="7">
        <v>158</v>
      </c>
      <c r="F237" s="2" t="s">
        <v>5</v>
      </c>
      <c r="G237" s="1">
        <v>43</v>
      </c>
      <c r="H237" s="6">
        <f t="shared" si="15"/>
        <v>115</v>
      </c>
      <c r="I237" s="1">
        <f>+COUNTIF(F$3:$F237,F237)</f>
        <v>45</v>
      </c>
      <c r="K237" s="132" t="str">
        <f t="shared" si="19"/>
        <v>주말</v>
      </c>
    </row>
    <row r="238" spans="1:11" ht="21.75" customHeight="1" x14ac:dyDescent="0.25">
      <c r="A238" s="2">
        <f t="shared" si="16"/>
        <v>2021</v>
      </c>
      <c r="B238" s="2">
        <f t="shared" si="17"/>
        <v>5</v>
      </c>
      <c r="C238" s="2" t="str">
        <f t="shared" si="18"/>
        <v>월</v>
      </c>
      <c r="D238" s="3">
        <v>44347</v>
      </c>
      <c r="E238" s="7">
        <v>51</v>
      </c>
      <c r="F238" s="2" t="s">
        <v>5</v>
      </c>
      <c r="G238" s="1">
        <v>10</v>
      </c>
      <c r="H238" s="6">
        <f t="shared" si="15"/>
        <v>41</v>
      </c>
      <c r="I238" s="1">
        <f>+COUNTIF(F$3:$F238,F238)</f>
        <v>46</v>
      </c>
      <c r="K238" s="132" t="str">
        <f t="shared" si="19"/>
        <v>평일</v>
      </c>
    </row>
    <row r="239" spans="1:11" ht="21.75" customHeight="1" x14ac:dyDescent="0.25">
      <c r="A239" s="2">
        <f t="shared" si="16"/>
        <v>2021</v>
      </c>
      <c r="B239" s="2">
        <f t="shared" si="17"/>
        <v>6</v>
      </c>
      <c r="C239" s="2" t="str">
        <f t="shared" si="18"/>
        <v>화</v>
      </c>
      <c r="D239" s="3">
        <v>44348</v>
      </c>
      <c r="E239" s="7">
        <v>32</v>
      </c>
      <c r="F239" s="2" t="s">
        <v>5</v>
      </c>
      <c r="G239" s="1">
        <v>10</v>
      </c>
      <c r="H239" s="6">
        <f t="shared" si="15"/>
        <v>22</v>
      </c>
      <c r="I239" s="1">
        <f>+COUNTIF(F$3:$F239,F239)</f>
        <v>47</v>
      </c>
      <c r="K239" s="132" t="str">
        <f t="shared" si="19"/>
        <v>평일</v>
      </c>
    </row>
    <row r="240" spans="1:11" ht="21.75" customHeight="1" x14ac:dyDescent="0.25">
      <c r="A240" s="2">
        <f t="shared" si="16"/>
        <v>2021</v>
      </c>
      <c r="B240" s="2">
        <f t="shared" si="17"/>
        <v>6</v>
      </c>
      <c r="C240" s="2" t="str">
        <f t="shared" si="18"/>
        <v>수</v>
      </c>
      <c r="D240" s="3">
        <v>44349</v>
      </c>
      <c r="E240" s="7">
        <v>36</v>
      </c>
      <c r="F240" s="2" t="s">
        <v>5</v>
      </c>
      <c r="G240" s="1">
        <v>14</v>
      </c>
      <c r="H240" s="6">
        <f t="shared" si="15"/>
        <v>22</v>
      </c>
      <c r="I240" s="1">
        <f>+COUNTIF(F$3:$F240,F240)</f>
        <v>48</v>
      </c>
      <c r="K240" s="132" t="str">
        <f t="shared" si="19"/>
        <v>평일</v>
      </c>
    </row>
    <row r="241" spans="1:11" ht="21.75" customHeight="1" x14ac:dyDescent="0.25">
      <c r="A241" s="2">
        <f t="shared" si="16"/>
        <v>2021</v>
      </c>
      <c r="B241" s="2">
        <f t="shared" si="17"/>
        <v>6</v>
      </c>
      <c r="C241" s="2" t="str">
        <f t="shared" si="18"/>
        <v>목</v>
      </c>
      <c r="D241" s="3">
        <v>44350</v>
      </c>
      <c r="E241" s="7">
        <v>57</v>
      </c>
      <c r="F241" s="2" t="s">
        <v>5</v>
      </c>
      <c r="G241" s="1">
        <v>11</v>
      </c>
      <c r="H241" s="6">
        <f t="shared" si="15"/>
        <v>46</v>
      </c>
      <c r="I241" s="1">
        <f>+COUNTIF(F$3:$F241,F241)</f>
        <v>49</v>
      </c>
      <c r="K241" s="132" t="str">
        <f t="shared" si="19"/>
        <v>평일</v>
      </c>
    </row>
    <row r="242" spans="1:11" ht="21.75" customHeight="1" x14ac:dyDescent="0.25">
      <c r="A242" s="2">
        <f t="shared" si="16"/>
        <v>2021</v>
      </c>
      <c r="B242" s="2">
        <f t="shared" si="17"/>
        <v>6</v>
      </c>
      <c r="C242" s="2" t="str">
        <f t="shared" si="18"/>
        <v>금</v>
      </c>
      <c r="D242" s="3">
        <v>44351</v>
      </c>
      <c r="E242" s="7">
        <v>68</v>
      </c>
      <c r="F242" s="2" t="s">
        <v>5</v>
      </c>
      <c r="G242" s="1">
        <v>25</v>
      </c>
      <c r="H242" s="6">
        <f t="shared" si="15"/>
        <v>43</v>
      </c>
      <c r="I242" s="1">
        <f>+COUNTIF(F$3:$F242,F242)</f>
        <v>50</v>
      </c>
      <c r="K242" s="132" t="str">
        <f t="shared" si="19"/>
        <v>평일</v>
      </c>
    </row>
    <row r="243" spans="1:11" ht="21.75" customHeight="1" x14ac:dyDescent="0.25">
      <c r="A243" s="2">
        <f t="shared" si="16"/>
        <v>2021</v>
      </c>
      <c r="B243" s="2">
        <f t="shared" si="17"/>
        <v>6</v>
      </c>
      <c r="C243" s="2" t="str">
        <f t="shared" si="18"/>
        <v>토</v>
      </c>
      <c r="D243" s="3">
        <v>44352</v>
      </c>
      <c r="E243" s="7">
        <v>245</v>
      </c>
      <c r="F243" s="2" t="s">
        <v>5</v>
      </c>
      <c r="G243" s="1">
        <v>61</v>
      </c>
      <c r="H243" s="6">
        <f t="shared" si="15"/>
        <v>184</v>
      </c>
      <c r="I243" s="1">
        <f>+COUNTIF(F$3:$F243,F243)</f>
        <v>51</v>
      </c>
      <c r="K243" s="132" t="str">
        <f t="shared" si="19"/>
        <v>주말</v>
      </c>
    </row>
    <row r="244" spans="1:11" ht="21.75" customHeight="1" x14ac:dyDescent="0.25">
      <c r="A244" s="2">
        <f t="shared" si="16"/>
        <v>2021</v>
      </c>
      <c r="B244" s="2">
        <f t="shared" si="17"/>
        <v>6</v>
      </c>
      <c r="C244" s="2" t="str">
        <f t="shared" si="18"/>
        <v>일</v>
      </c>
      <c r="D244" s="3">
        <v>44353</v>
      </c>
      <c r="E244" s="7">
        <v>158</v>
      </c>
      <c r="F244" s="2" t="s">
        <v>5</v>
      </c>
      <c r="G244" s="1">
        <v>32</v>
      </c>
      <c r="H244" s="6">
        <f t="shared" si="15"/>
        <v>126</v>
      </c>
      <c r="I244" s="1">
        <f>+COUNTIF(F$3:$F244,F244)</f>
        <v>52</v>
      </c>
      <c r="K244" s="132" t="str">
        <f t="shared" si="19"/>
        <v>주말</v>
      </c>
    </row>
    <row r="245" spans="1:11" ht="21.75" customHeight="1" x14ac:dyDescent="0.25">
      <c r="A245" s="2">
        <f t="shared" si="16"/>
        <v>2021</v>
      </c>
      <c r="B245" s="2">
        <f t="shared" si="17"/>
        <v>6</v>
      </c>
      <c r="C245" s="2" t="str">
        <f t="shared" si="18"/>
        <v>월</v>
      </c>
      <c r="D245" s="3">
        <v>44354</v>
      </c>
      <c r="E245" s="7">
        <v>64</v>
      </c>
      <c r="F245" s="2" t="s">
        <v>5</v>
      </c>
      <c r="G245" s="1">
        <v>6</v>
      </c>
      <c r="H245" s="6">
        <f t="shared" si="15"/>
        <v>58</v>
      </c>
      <c r="I245" s="1">
        <f>+COUNTIF(F$3:$F245,F245)</f>
        <v>53</v>
      </c>
      <c r="K245" s="132" t="str">
        <f t="shared" si="19"/>
        <v>평일</v>
      </c>
    </row>
    <row r="246" spans="1:11" ht="21.75" customHeight="1" x14ac:dyDescent="0.25">
      <c r="A246" s="2">
        <f t="shared" si="16"/>
        <v>2021</v>
      </c>
      <c r="B246" s="2">
        <f t="shared" si="17"/>
        <v>6</v>
      </c>
      <c r="C246" s="2" t="str">
        <f t="shared" si="18"/>
        <v>화</v>
      </c>
      <c r="D246" s="3">
        <v>44355</v>
      </c>
      <c r="E246" s="7">
        <v>89</v>
      </c>
      <c r="F246" s="2" t="s">
        <v>5</v>
      </c>
      <c r="G246" s="1">
        <v>23</v>
      </c>
      <c r="H246" s="6">
        <f t="shared" si="15"/>
        <v>66</v>
      </c>
      <c r="I246" s="1">
        <f>+COUNTIF(F$3:$F246,F246)</f>
        <v>54</v>
      </c>
      <c r="K246" s="132" t="str">
        <f t="shared" si="19"/>
        <v>평일</v>
      </c>
    </row>
    <row r="247" spans="1:11" ht="21.75" customHeight="1" x14ac:dyDescent="0.25">
      <c r="A247" s="2">
        <f t="shared" si="16"/>
        <v>2021</v>
      </c>
      <c r="B247" s="2">
        <f t="shared" si="17"/>
        <v>6</v>
      </c>
      <c r="C247" s="2" t="str">
        <f t="shared" si="18"/>
        <v>수</v>
      </c>
      <c r="D247" s="3">
        <v>44356</v>
      </c>
      <c r="E247" s="7">
        <v>77</v>
      </c>
      <c r="F247" s="2" t="s">
        <v>5</v>
      </c>
      <c r="G247" s="1">
        <v>8</v>
      </c>
      <c r="H247" s="6">
        <f t="shared" si="15"/>
        <v>69</v>
      </c>
      <c r="I247" s="1">
        <f>+COUNTIF(F$3:$F247,F247)</f>
        <v>55</v>
      </c>
      <c r="K247" s="132" t="str">
        <f t="shared" si="19"/>
        <v>평일</v>
      </c>
    </row>
    <row r="248" spans="1:11" ht="21.75" customHeight="1" x14ac:dyDescent="0.25">
      <c r="A248" s="2">
        <f t="shared" si="16"/>
        <v>2021</v>
      </c>
      <c r="B248" s="2">
        <f t="shared" si="17"/>
        <v>6</v>
      </c>
      <c r="C248" s="2" t="str">
        <f t="shared" si="18"/>
        <v>목</v>
      </c>
      <c r="D248" s="3">
        <v>44357</v>
      </c>
      <c r="E248" s="7">
        <v>84</v>
      </c>
      <c r="F248" s="2" t="s">
        <v>5</v>
      </c>
      <c r="G248" s="1">
        <v>22</v>
      </c>
      <c r="H248" s="6">
        <f t="shared" si="15"/>
        <v>62</v>
      </c>
      <c r="I248" s="1">
        <f>+COUNTIF(F$3:$F248,F248)</f>
        <v>56</v>
      </c>
      <c r="K248" s="132" t="str">
        <f t="shared" si="19"/>
        <v>평일</v>
      </c>
    </row>
    <row r="249" spans="1:11" ht="21.75" customHeight="1" x14ac:dyDescent="0.25">
      <c r="A249" s="2">
        <f t="shared" si="16"/>
        <v>2021</v>
      </c>
      <c r="B249" s="2">
        <f t="shared" si="17"/>
        <v>6</v>
      </c>
      <c r="C249" s="2" t="str">
        <f t="shared" si="18"/>
        <v>금</v>
      </c>
      <c r="D249" s="3">
        <v>44358</v>
      </c>
      <c r="E249" s="7">
        <v>82</v>
      </c>
      <c r="F249" s="2" t="s">
        <v>5</v>
      </c>
      <c r="G249" s="1">
        <v>28</v>
      </c>
      <c r="H249" s="6">
        <f t="shared" si="15"/>
        <v>54</v>
      </c>
      <c r="I249" s="1">
        <f>+COUNTIF(F$3:$F249,F249)</f>
        <v>57</v>
      </c>
      <c r="K249" s="132" t="str">
        <f t="shared" si="19"/>
        <v>평일</v>
      </c>
    </row>
    <row r="250" spans="1:11" ht="21.75" customHeight="1" x14ac:dyDescent="0.25">
      <c r="A250" s="2">
        <f t="shared" si="16"/>
        <v>2021</v>
      </c>
      <c r="B250" s="2">
        <f t="shared" si="17"/>
        <v>6</v>
      </c>
      <c r="C250" s="2" t="str">
        <f t="shared" si="18"/>
        <v>토</v>
      </c>
      <c r="D250" s="3">
        <v>44359</v>
      </c>
      <c r="E250" s="7">
        <v>313</v>
      </c>
      <c r="F250" s="2" t="s">
        <v>5</v>
      </c>
      <c r="G250" s="1">
        <v>78</v>
      </c>
      <c r="H250" s="6">
        <f t="shared" si="15"/>
        <v>235</v>
      </c>
      <c r="I250" s="1">
        <f>+COUNTIF(F$3:$F250,F250)</f>
        <v>58</v>
      </c>
      <c r="K250" s="132" t="str">
        <f t="shared" si="19"/>
        <v>주말</v>
      </c>
    </row>
    <row r="251" spans="1:11" ht="21.75" customHeight="1" x14ac:dyDescent="0.25">
      <c r="A251" s="2">
        <f t="shared" si="16"/>
        <v>2021</v>
      </c>
      <c r="B251" s="2">
        <f t="shared" si="17"/>
        <v>6</v>
      </c>
      <c r="C251" s="2" t="str">
        <f t="shared" si="18"/>
        <v>일</v>
      </c>
      <c r="D251" s="3">
        <v>44360</v>
      </c>
      <c r="E251" s="7">
        <v>174</v>
      </c>
      <c r="F251" s="2" t="s">
        <v>5</v>
      </c>
      <c r="G251" s="1">
        <v>43</v>
      </c>
      <c r="H251" s="6">
        <f t="shared" si="15"/>
        <v>131</v>
      </c>
      <c r="I251" s="1">
        <f>+COUNTIF(F$3:$F251,F251)</f>
        <v>59</v>
      </c>
      <c r="K251" s="132" t="str">
        <f t="shared" si="19"/>
        <v>주말</v>
      </c>
    </row>
    <row r="252" spans="1:11" ht="21.75" customHeight="1" x14ac:dyDescent="0.25">
      <c r="A252" s="2">
        <f t="shared" si="16"/>
        <v>2021</v>
      </c>
      <c r="B252" s="2">
        <f t="shared" si="17"/>
        <v>6</v>
      </c>
      <c r="C252" s="2" t="str">
        <f t="shared" si="18"/>
        <v>월</v>
      </c>
      <c r="D252" s="3">
        <v>44361</v>
      </c>
      <c r="E252" s="7">
        <v>0</v>
      </c>
      <c r="F252" s="2" t="s">
        <v>5</v>
      </c>
      <c r="G252" s="1">
        <v>0</v>
      </c>
      <c r="H252" s="6">
        <f t="shared" si="15"/>
        <v>0</v>
      </c>
      <c r="I252" s="1">
        <f>+COUNTIF(F$3:$F252,F252)</f>
        <v>60</v>
      </c>
      <c r="K252" s="132" t="str">
        <f t="shared" si="19"/>
        <v>평일</v>
      </c>
    </row>
    <row r="253" spans="1:11" ht="21.75" customHeight="1" x14ac:dyDescent="0.25">
      <c r="A253" s="2">
        <f t="shared" si="16"/>
        <v>2021</v>
      </c>
      <c r="B253" s="2">
        <f t="shared" si="17"/>
        <v>6</v>
      </c>
      <c r="C253" s="2" t="str">
        <f t="shared" si="18"/>
        <v>화</v>
      </c>
      <c r="D253" s="3">
        <v>44362</v>
      </c>
      <c r="E253" s="7">
        <v>69</v>
      </c>
      <c r="F253" s="2" t="s">
        <v>5</v>
      </c>
      <c r="G253" s="1">
        <v>7</v>
      </c>
      <c r="H253" s="6">
        <f t="shared" si="15"/>
        <v>62</v>
      </c>
      <c r="I253" s="1">
        <f>+COUNTIF(F$3:$F253,F253)</f>
        <v>61</v>
      </c>
      <c r="K253" s="132" t="str">
        <f t="shared" si="19"/>
        <v>평일</v>
      </c>
    </row>
    <row r="254" spans="1:11" ht="21.75" customHeight="1" x14ac:dyDescent="0.25">
      <c r="A254" s="2">
        <f t="shared" si="16"/>
        <v>2021</v>
      </c>
      <c r="B254" s="2">
        <f t="shared" si="17"/>
        <v>6</v>
      </c>
      <c r="C254" s="2" t="str">
        <f t="shared" si="18"/>
        <v>수</v>
      </c>
      <c r="D254" s="3">
        <v>44363</v>
      </c>
      <c r="E254" s="7">
        <v>62</v>
      </c>
      <c r="F254" s="2" t="s">
        <v>5</v>
      </c>
      <c r="G254" s="1">
        <v>24</v>
      </c>
      <c r="H254" s="6">
        <f t="shared" si="15"/>
        <v>38</v>
      </c>
      <c r="I254" s="1">
        <f>+COUNTIF(F$3:$F254,F254)</f>
        <v>62</v>
      </c>
      <c r="K254" s="132" t="str">
        <f t="shared" si="19"/>
        <v>평일</v>
      </c>
    </row>
    <row r="255" spans="1:11" ht="21.75" customHeight="1" x14ac:dyDescent="0.25">
      <c r="A255" s="2">
        <f t="shared" si="16"/>
        <v>2021</v>
      </c>
      <c r="B255" s="2">
        <f t="shared" si="17"/>
        <v>6</v>
      </c>
      <c r="C255" s="2" t="str">
        <f t="shared" si="18"/>
        <v>목</v>
      </c>
      <c r="D255" s="3">
        <v>44364</v>
      </c>
      <c r="E255" s="7">
        <v>115</v>
      </c>
      <c r="F255" s="2" t="s">
        <v>5</v>
      </c>
      <c r="G255" s="1">
        <v>40</v>
      </c>
      <c r="H255" s="6">
        <f t="shared" si="15"/>
        <v>75</v>
      </c>
      <c r="I255" s="1">
        <f>+COUNTIF(F$3:$F255,F255)</f>
        <v>63</v>
      </c>
      <c r="K255" s="132" t="str">
        <f t="shared" si="19"/>
        <v>평일</v>
      </c>
    </row>
    <row r="256" spans="1:11" ht="21.75" customHeight="1" x14ac:dyDescent="0.25">
      <c r="A256" s="2">
        <f t="shared" si="16"/>
        <v>2021</v>
      </c>
      <c r="B256" s="2">
        <f t="shared" si="17"/>
        <v>6</v>
      </c>
      <c r="C256" s="2" t="str">
        <f t="shared" si="18"/>
        <v>금</v>
      </c>
      <c r="D256" s="3">
        <v>44365</v>
      </c>
      <c r="E256" s="7">
        <v>130</v>
      </c>
      <c r="F256" s="2" t="s">
        <v>5</v>
      </c>
      <c r="G256" s="1">
        <v>35</v>
      </c>
      <c r="H256" s="6">
        <f t="shared" si="15"/>
        <v>95</v>
      </c>
      <c r="I256" s="1">
        <f>+COUNTIF(F$3:$F256,F256)</f>
        <v>64</v>
      </c>
      <c r="K256" s="132" t="str">
        <f t="shared" si="19"/>
        <v>평일</v>
      </c>
    </row>
    <row r="257" spans="1:11" ht="21.75" customHeight="1" x14ac:dyDescent="0.25">
      <c r="A257" s="2">
        <f t="shared" si="16"/>
        <v>2021</v>
      </c>
      <c r="B257" s="2">
        <f t="shared" si="17"/>
        <v>6</v>
      </c>
      <c r="C257" s="2" t="str">
        <f t="shared" si="18"/>
        <v>토</v>
      </c>
      <c r="D257" s="3">
        <v>44366</v>
      </c>
      <c r="E257" s="7">
        <v>337</v>
      </c>
      <c r="F257" s="2" t="s">
        <v>5</v>
      </c>
      <c r="G257" s="1">
        <v>116</v>
      </c>
      <c r="H257" s="6">
        <f t="shared" si="15"/>
        <v>221</v>
      </c>
      <c r="I257" s="1">
        <f>+COUNTIF(F$3:$F257,F257)</f>
        <v>65</v>
      </c>
      <c r="K257" s="132" t="str">
        <f t="shared" si="19"/>
        <v>주말</v>
      </c>
    </row>
    <row r="258" spans="1:11" ht="21.75" customHeight="1" x14ac:dyDescent="0.25">
      <c r="A258" s="2">
        <f t="shared" si="16"/>
        <v>2021</v>
      </c>
      <c r="B258" s="2">
        <f t="shared" si="17"/>
        <v>6</v>
      </c>
      <c r="C258" s="2" t="str">
        <f t="shared" si="18"/>
        <v>일</v>
      </c>
      <c r="D258" s="3">
        <v>44367</v>
      </c>
      <c r="E258" s="7">
        <v>214</v>
      </c>
      <c r="F258" s="2" t="s">
        <v>5</v>
      </c>
      <c r="G258" s="1">
        <v>51</v>
      </c>
      <c r="H258" s="6">
        <f t="shared" ref="H258:H279" si="20">+E258-G258</f>
        <v>163</v>
      </c>
      <c r="I258" s="1">
        <f>+COUNTIF(F$3:$F258,F258)</f>
        <v>66</v>
      </c>
      <c r="K258" s="132" t="str">
        <f t="shared" si="19"/>
        <v>주말</v>
      </c>
    </row>
    <row r="259" spans="1:11" ht="21.75" customHeight="1" x14ac:dyDescent="0.25">
      <c r="A259" s="2">
        <f t="shared" si="16"/>
        <v>2021</v>
      </c>
      <c r="B259" s="2">
        <f t="shared" si="17"/>
        <v>6</v>
      </c>
      <c r="C259" s="2" t="str">
        <f t="shared" si="18"/>
        <v>월</v>
      </c>
      <c r="D259" s="3">
        <v>44368</v>
      </c>
      <c r="E259" s="7">
        <v>141</v>
      </c>
      <c r="F259" s="2" t="s">
        <v>5</v>
      </c>
      <c r="G259" s="1">
        <v>30</v>
      </c>
      <c r="H259" s="6">
        <f t="shared" si="20"/>
        <v>111</v>
      </c>
      <c r="I259" s="1">
        <f>+COUNTIF(F$3:$F259,F259)</f>
        <v>67</v>
      </c>
      <c r="K259" s="132" t="str">
        <f t="shared" si="19"/>
        <v>평일</v>
      </c>
    </row>
    <row r="260" spans="1:11" ht="21.75" customHeight="1" x14ac:dyDescent="0.25">
      <c r="A260" s="2">
        <f t="shared" ref="A260:A323" si="21">+YEAR(D260)</f>
        <v>2021</v>
      </c>
      <c r="B260" s="2">
        <f t="shared" ref="B260:B323" si="22">+MONTH(D260)</f>
        <v>6</v>
      </c>
      <c r="C260" s="2" t="str">
        <f t="shared" ref="C260:C323" si="23">+TEXT(D260,"aaa")</f>
        <v>화</v>
      </c>
      <c r="D260" s="3">
        <v>44369</v>
      </c>
      <c r="E260" s="7">
        <v>82</v>
      </c>
      <c r="F260" s="2" t="s">
        <v>5</v>
      </c>
      <c r="G260" s="1">
        <v>12</v>
      </c>
      <c r="H260" s="6">
        <f t="shared" si="20"/>
        <v>70</v>
      </c>
      <c r="I260" s="1">
        <f>+COUNTIF(F$3:$F260,F260)</f>
        <v>68</v>
      </c>
      <c r="K260" s="132" t="str">
        <f t="shared" ref="K260:K323" si="24">+IF(OR(C260="토",C260="일"),"주말","평일")</f>
        <v>평일</v>
      </c>
    </row>
    <row r="261" spans="1:11" ht="21.75" customHeight="1" x14ac:dyDescent="0.25">
      <c r="A261" s="2">
        <f t="shared" si="21"/>
        <v>2021</v>
      </c>
      <c r="B261" s="2">
        <f t="shared" si="22"/>
        <v>6</v>
      </c>
      <c r="C261" s="2" t="str">
        <f t="shared" si="23"/>
        <v>수</v>
      </c>
      <c r="D261" s="3">
        <v>44370</v>
      </c>
      <c r="E261" s="7">
        <v>79</v>
      </c>
      <c r="F261" s="2" t="s">
        <v>5</v>
      </c>
      <c r="G261" s="1">
        <v>26</v>
      </c>
      <c r="H261" s="6">
        <f t="shared" si="20"/>
        <v>53</v>
      </c>
      <c r="I261" s="1">
        <f>+COUNTIF(F$3:$F261,F261)</f>
        <v>69</v>
      </c>
      <c r="K261" s="132" t="str">
        <f t="shared" si="24"/>
        <v>평일</v>
      </c>
    </row>
    <row r="262" spans="1:11" ht="21.75" customHeight="1" x14ac:dyDescent="0.25">
      <c r="A262" s="2">
        <f t="shared" si="21"/>
        <v>2021</v>
      </c>
      <c r="B262" s="2">
        <f t="shared" si="22"/>
        <v>6</v>
      </c>
      <c r="C262" s="2" t="str">
        <f t="shared" si="23"/>
        <v>목</v>
      </c>
      <c r="D262" s="3">
        <v>44371</v>
      </c>
      <c r="E262" s="7">
        <v>146</v>
      </c>
      <c r="F262" s="2" t="s">
        <v>5</v>
      </c>
      <c r="G262" s="1">
        <v>11</v>
      </c>
      <c r="H262" s="6">
        <f t="shared" si="20"/>
        <v>135</v>
      </c>
      <c r="I262" s="1">
        <f>+COUNTIF(F$3:$F262,F262)</f>
        <v>70</v>
      </c>
      <c r="K262" s="132" t="str">
        <f t="shared" si="24"/>
        <v>평일</v>
      </c>
    </row>
    <row r="263" spans="1:11" ht="21.75" customHeight="1" x14ac:dyDescent="0.25">
      <c r="A263" s="2">
        <f t="shared" si="21"/>
        <v>2021</v>
      </c>
      <c r="B263" s="2">
        <f t="shared" si="22"/>
        <v>6</v>
      </c>
      <c r="C263" s="2" t="str">
        <f t="shared" si="23"/>
        <v>금</v>
      </c>
      <c r="D263" s="3">
        <v>44372</v>
      </c>
      <c r="E263" s="7">
        <v>132</v>
      </c>
      <c r="F263" s="2" t="s">
        <v>5</v>
      </c>
      <c r="G263" s="1">
        <v>34</v>
      </c>
      <c r="H263" s="6">
        <f t="shared" si="20"/>
        <v>98</v>
      </c>
      <c r="I263" s="1">
        <f>+COUNTIF(F$3:$F263,F263)</f>
        <v>71</v>
      </c>
      <c r="K263" s="132" t="str">
        <f t="shared" si="24"/>
        <v>평일</v>
      </c>
    </row>
    <row r="264" spans="1:11" ht="21.75" customHeight="1" x14ac:dyDescent="0.25">
      <c r="A264" s="2">
        <f t="shared" si="21"/>
        <v>2021</v>
      </c>
      <c r="B264" s="2">
        <f t="shared" si="22"/>
        <v>6</v>
      </c>
      <c r="C264" s="2" t="str">
        <f t="shared" si="23"/>
        <v>토</v>
      </c>
      <c r="D264" s="3">
        <v>44373</v>
      </c>
      <c r="E264" s="7">
        <v>543</v>
      </c>
      <c r="F264" s="2" t="s">
        <v>5</v>
      </c>
      <c r="G264" s="1">
        <v>125</v>
      </c>
      <c r="H264" s="6">
        <f t="shared" si="20"/>
        <v>418</v>
      </c>
      <c r="I264" s="1">
        <f>+COUNTIF(F$3:$F264,F264)</f>
        <v>72</v>
      </c>
      <c r="K264" s="132" t="str">
        <f t="shared" si="24"/>
        <v>주말</v>
      </c>
    </row>
    <row r="265" spans="1:11" ht="21.75" customHeight="1" x14ac:dyDescent="0.25">
      <c r="A265" s="2">
        <f t="shared" si="21"/>
        <v>2021</v>
      </c>
      <c r="B265" s="2">
        <f t="shared" si="22"/>
        <v>6</v>
      </c>
      <c r="C265" s="2" t="str">
        <f t="shared" si="23"/>
        <v>일</v>
      </c>
      <c r="D265" s="3">
        <v>44374</v>
      </c>
      <c r="E265" s="7">
        <v>353</v>
      </c>
      <c r="F265" s="2" t="s">
        <v>5</v>
      </c>
      <c r="G265" s="1">
        <v>108</v>
      </c>
      <c r="H265" s="6">
        <f t="shared" si="20"/>
        <v>245</v>
      </c>
      <c r="I265" s="1">
        <f>+COUNTIF(F$3:$F265,F265)</f>
        <v>73</v>
      </c>
      <c r="K265" s="132" t="str">
        <f t="shared" si="24"/>
        <v>주말</v>
      </c>
    </row>
    <row r="266" spans="1:11" ht="21.75" customHeight="1" x14ac:dyDescent="0.25">
      <c r="A266" s="2">
        <f t="shared" si="21"/>
        <v>2021</v>
      </c>
      <c r="B266" s="2">
        <f t="shared" si="22"/>
        <v>6</v>
      </c>
      <c r="C266" s="2" t="str">
        <f t="shared" si="23"/>
        <v>월</v>
      </c>
      <c r="D266" s="3">
        <v>44375</v>
      </c>
      <c r="E266" s="7">
        <v>150</v>
      </c>
      <c r="F266" s="2" t="s">
        <v>5</v>
      </c>
      <c r="G266" s="1">
        <v>38</v>
      </c>
      <c r="H266" s="6">
        <f t="shared" si="20"/>
        <v>112</v>
      </c>
      <c r="I266" s="1">
        <f>+COUNTIF(F$3:$F266,F266)</f>
        <v>74</v>
      </c>
      <c r="K266" s="132" t="str">
        <f t="shared" si="24"/>
        <v>평일</v>
      </c>
    </row>
    <row r="267" spans="1:11" ht="21.75" customHeight="1" x14ac:dyDescent="0.25">
      <c r="A267" s="2">
        <f t="shared" si="21"/>
        <v>2021</v>
      </c>
      <c r="B267" s="2">
        <f t="shared" si="22"/>
        <v>6</v>
      </c>
      <c r="C267" s="2" t="str">
        <f t="shared" si="23"/>
        <v>화</v>
      </c>
      <c r="D267" s="3">
        <v>44376</v>
      </c>
      <c r="E267" s="7">
        <v>87</v>
      </c>
      <c r="F267" s="2" t="s">
        <v>5</v>
      </c>
      <c r="G267" s="1">
        <v>22</v>
      </c>
      <c r="H267" s="6">
        <f t="shared" si="20"/>
        <v>65</v>
      </c>
      <c r="I267" s="1">
        <f>+COUNTIF(F$3:$F267,F267)</f>
        <v>75</v>
      </c>
      <c r="K267" s="132" t="str">
        <f t="shared" si="24"/>
        <v>평일</v>
      </c>
    </row>
    <row r="268" spans="1:11" ht="21.75" customHeight="1" x14ac:dyDescent="0.25">
      <c r="A268" s="2">
        <f t="shared" si="21"/>
        <v>2021</v>
      </c>
      <c r="B268" s="2">
        <f t="shared" si="22"/>
        <v>6</v>
      </c>
      <c r="C268" s="2" t="str">
        <f t="shared" si="23"/>
        <v>수</v>
      </c>
      <c r="D268" s="3">
        <v>44377</v>
      </c>
      <c r="E268" s="7">
        <v>241</v>
      </c>
      <c r="F268" s="2" t="s">
        <v>5</v>
      </c>
      <c r="G268" s="1">
        <v>31</v>
      </c>
      <c r="H268" s="6">
        <f t="shared" si="20"/>
        <v>210</v>
      </c>
      <c r="I268" s="1">
        <f>+COUNTIF(F$3:$F268,F268)</f>
        <v>76</v>
      </c>
      <c r="K268" s="132" t="str">
        <f t="shared" si="24"/>
        <v>평일</v>
      </c>
    </row>
    <row r="269" spans="1:11" ht="21.75" customHeight="1" x14ac:dyDescent="0.25">
      <c r="A269" s="2">
        <f t="shared" si="21"/>
        <v>2021</v>
      </c>
      <c r="B269" s="2">
        <f t="shared" si="22"/>
        <v>7</v>
      </c>
      <c r="C269" s="2" t="str">
        <f t="shared" si="23"/>
        <v>목</v>
      </c>
      <c r="D269" s="3">
        <v>44378</v>
      </c>
      <c r="E269" s="7">
        <v>238</v>
      </c>
      <c r="F269" s="2" t="s">
        <v>5</v>
      </c>
      <c r="G269" s="1">
        <v>36</v>
      </c>
      <c r="H269" s="6">
        <f t="shared" si="20"/>
        <v>202</v>
      </c>
      <c r="I269" s="1">
        <f>+COUNTIF(F$3:$F269,F269)</f>
        <v>77</v>
      </c>
      <c r="K269" s="132" t="str">
        <f t="shared" si="24"/>
        <v>평일</v>
      </c>
    </row>
    <row r="270" spans="1:11" ht="21.75" customHeight="1" x14ac:dyDescent="0.25">
      <c r="A270" s="2">
        <f t="shared" si="21"/>
        <v>2021</v>
      </c>
      <c r="B270" s="2">
        <f t="shared" si="22"/>
        <v>7</v>
      </c>
      <c r="C270" s="2" t="str">
        <f t="shared" si="23"/>
        <v>금</v>
      </c>
      <c r="D270" s="3">
        <v>44379</v>
      </c>
      <c r="E270" s="7">
        <v>251</v>
      </c>
      <c r="F270" s="2" t="s">
        <v>5</v>
      </c>
      <c r="G270" s="1">
        <v>56</v>
      </c>
      <c r="H270" s="6">
        <f t="shared" si="20"/>
        <v>195</v>
      </c>
      <c r="I270" s="1">
        <f>+COUNTIF(F$3:$F270,F270)</f>
        <v>78</v>
      </c>
      <c r="K270" s="132" t="str">
        <f t="shared" si="24"/>
        <v>평일</v>
      </c>
    </row>
    <row r="271" spans="1:11" ht="21.75" customHeight="1" x14ac:dyDescent="0.25">
      <c r="A271" s="2">
        <f t="shared" si="21"/>
        <v>2021</v>
      </c>
      <c r="B271" s="2">
        <f t="shared" si="22"/>
        <v>7</v>
      </c>
      <c r="C271" s="2" t="str">
        <f t="shared" si="23"/>
        <v>토</v>
      </c>
      <c r="D271" s="3">
        <v>44380</v>
      </c>
      <c r="E271" s="7">
        <v>656</v>
      </c>
      <c r="F271" s="2" t="s">
        <v>5</v>
      </c>
      <c r="G271" s="1">
        <v>215</v>
      </c>
      <c r="H271" s="6">
        <f t="shared" si="20"/>
        <v>441</v>
      </c>
      <c r="I271" s="1">
        <f>+COUNTIF(F$3:$F271,F271)</f>
        <v>79</v>
      </c>
      <c r="K271" s="132" t="str">
        <f t="shared" si="24"/>
        <v>주말</v>
      </c>
    </row>
    <row r="272" spans="1:11" ht="21.75" customHeight="1" x14ac:dyDescent="0.25">
      <c r="A272" s="2">
        <f t="shared" si="21"/>
        <v>2021</v>
      </c>
      <c r="B272" s="2">
        <f t="shared" si="22"/>
        <v>7</v>
      </c>
      <c r="C272" s="2" t="str">
        <f t="shared" si="23"/>
        <v>일</v>
      </c>
      <c r="D272" s="3">
        <v>44381</v>
      </c>
      <c r="E272" s="7">
        <v>473</v>
      </c>
      <c r="F272" s="2" t="s">
        <v>5</v>
      </c>
      <c r="G272" s="1">
        <v>139</v>
      </c>
      <c r="H272" s="6">
        <f t="shared" si="20"/>
        <v>334</v>
      </c>
      <c r="I272" s="1">
        <f>+COUNTIF(F$3:$F272,F272)</f>
        <v>80</v>
      </c>
      <c r="K272" s="132" t="str">
        <f t="shared" si="24"/>
        <v>주말</v>
      </c>
    </row>
    <row r="273" spans="1:11" ht="21.75" customHeight="1" x14ac:dyDescent="0.25">
      <c r="A273" s="2">
        <f t="shared" si="21"/>
        <v>2021</v>
      </c>
      <c r="B273" s="2">
        <f t="shared" si="22"/>
        <v>7</v>
      </c>
      <c r="C273" s="2" t="str">
        <f t="shared" si="23"/>
        <v>월</v>
      </c>
      <c r="D273" s="3">
        <v>44382</v>
      </c>
      <c r="E273" s="7">
        <v>220</v>
      </c>
      <c r="F273" s="2" t="s">
        <v>5</v>
      </c>
      <c r="G273" s="1">
        <v>54</v>
      </c>
      <c r="H273" s="6">
        <f t="shared" si="20"/>
        <v>166</v>
      </c>
      <c r="I273" s="1">
        <f>+COUNTIF(F$3:$F273,F273)</f>
        <v>81</v>
      </c>
      <c r="K273" s="132" t="str">
        <f t="shared" si="24"/>
        <v>평일</v>
      </c>
    </row>
    <row r="274" spans="1:11" ht="21.75" customHeight="1" x14ac:dyDescent="0.25">
      <c r="A274" s="2">
        <f t="shared" si="21"/>
        <v>2021</v>
      </c>
      <c r="B274" s="2">
        <f t="shared" si="22"/>
        <v>7</v>
      </c>
      <c r="C274" s="2" t="str">
        <f t="shared" si="23"/>
        <v>화</v>
      </c>
      <c r="D274" s="3">
        <v>44383</v>
      </c>
      <c r="E274" s="7">
        <v>256</v>
      </c>
      <c r="F274" s="2" t="s">
        <v>5</v>
      </c>
      <c r="G274" s="1">
        <v>72</v>
      </c>
      <c r="H274" s="6">
        <f t="shared" si="20"/>
        <v>184</v>
      </c>
      <c r="I274" s="1">
        <f>+COUNTIF(F$3:$F274,F274)</f>
        <v>82</v>
      </c>
      <c r="K274" s="132" t="str">
        <f t="shared" si="24"/>
        <v>평일</v>
      </c>
    </row>
    <row r="275" spans="1:11" ht="21.75" customHeight="1" x14ac:dyDescent="0.25">
      <c r="A275" s="2">
        <f t="shared" si="21"/>
        <v>2021</v>
      </c>
      <c r="B275" s="2">
        <f t="shared" si="22"/>
        <v>7</v>
      </c>
      <c r="C275" s="2" t="str">
        <f t="shared" si="23"/>
        <v>수</v>
      </c>
      <c r="D275" s="3">
        <v>44384</v>
      </c>
      <c r="E275" s="7">
        <v>216</v>
      </c>
      <c r="F275" s="2" t="s">
        <v>5</v>
      </c>
      <c r="G275" s="1">
        <v>79</v>
      </c>
      <c r="H275" s="6">
        <f t="shared" si="20"/>
        <v>137</v>
      </c>
      <c r="I275" s="1">
        <f>+COUNTIF(F$3:$F275,F275)</f>
        <v>83</v>
      </c>
      <c r="K275" s="132" t="str">
        <f t="shared" si="24"/>
        <v>평일</v>
      </c>
    </row>
    <row r="276" spans="1:11" ht="21.75" customHeight="1" x14ac:dyDescent="0.25">
      <c r="A276" s="2">
        <f t="shared" si="21"/>
        <v>2021</v>
      </c>
      <c r="B276" s="2">
        <f t="shared" si="22"/>
        <v>7</v>
      </c>
      <c r="C276" s="2" t="str">
        <f t="shared" si="23"/>
        <v>목</v>
      </c>
      <c r="D276" s="3">
        <v>44385</v>
      </c>
      <c r="E276" s="7">
        <v>338</v>
      </c>
      <c r="F276" s="2" t="s">
        <v>5</v>
      </c>
      <c r="G276" s="1">
        <v>108</v>
      </c>
      <c r="H276" s="6">
        <f t="shared" si="20"/>
        <v>230</v>
      </c>
      <c r="I276" s="1">
        <f>+COUNTIF(F$3:$F276,F276)</f>
        <v>84</v>
      </c>
      <c r="K276" s="132" t="str">
        <f t="shared" si="24"/>
        <v>평일</v>
      </c>
    </row>
    <row r="277" spans="1:11" ht="21.75" customHeight="1" x14ac:dyDescent="0.25">
      <c r="A277" s="2">
        <f t="shared" si="21"/>
        <v>2021</v>
      </c>
      <c r="B277" s="2">
        <f t="shared" si="22"/>
        <v>7</v>
      </c>
      <c r="C277" s="2" t="str">
        <f t="shared" si="23"/>
        <v>금</v>
      </c>
      <c r="D277" s="3">
        <v>44386</v>
      </c>
      <c r="E277" s="7">
        <v>354</v>
      </c>
      <c r="F277" s="2" t="s">
        <v>5</v>
      </c>
      <c r="G277" s="1">
        <v>135</v>
      </c>
      <c r="H277" s="6">
        <f t="shared" si="20"/>
        <v>219</v>
      </c>
      <c r="I277" s="1">
        <f>+COUNTIF(F$3:$F277,F277)</f>
        <v>85</v>
      </c>
      <c r="K277" s="132" t="str">
        <f t="shared" si="24"/>
        <v>평일</v>
      </c>
    </row>
    <row r="278" spans="1:11" ht="21.75" customHeight="1" x14ac:dyDescent="0.25">
      <c r="A278" s="2">
        <f t="shared" si="21"/>
        <v>2021</v>
      </c>
      <c r="B278" s="2">
        <f t="shared" si="22"/>
        <v>7</v>
      </c>
      <c r="C278" s="2" t="str">
        <f t="shared" si="23"/>
        <v>토</v>
      </c>
      <c r="D278" s="3">
        <v>44387</v>
      </c>
      <c r="E278" s="7">
        <v>760</v>
      </c>
      <c r="F278" s="2" t="s">
        <v>5</v>
      </c>
      <c r="G278" s="1">
        <v>268</v>
      </c>
      <c r="H278" s="6">
        <f t="shared" si="20"/>
        <v>492</v>
      </c>
      <c r="I278" s="1">
        <f>+COUNTIF(F$3:$F278,F278)</f>
        <v>86</v>
      </c>
      <c r="K278" s="132" t="str">
        <f t="shared" si="24"/>
        <v>주말</v>
      </c>
    </row>
    <row r="279" spans="1:11" ht="21.75" customHeight="1" x14ac:dyDescent="0.25">
      <c r="A279" s="2">
        <f t="shared" si="21"/>
        <v>2021</v>
      </c>
      <c r="B279" s="2">
        <f t="shared" si="22"/>
        <v>7</v>
      </c>
      <c r="C279" s="2" t="str">
        <f t="shared" si="23"/>
        <v>일</v>
      </c>
      <c r="D279" s="3">
        <v>44388</v>
      </c>
      <c r="E279" s="7">
        <v>639</v>
      </c>
      <c r="F279" s="2" t="s">
        <v>5</v>
      </c>
      <c r="G279" s="1">
        <v>264</v>
      </c>
      <c r="H279" s="6">
        <f t="shared" si="20"/>
        <v>375</v>
      </c>
      <c r="I279" s="1">
        <f>+COUNTIF(F$3:$F279,F279)</f>
        <v>87</v>
      </c>
      <c r="K279" s="132" t="str">
        <f t="shared" si="24"/>
        <v>주말</v>
      </c>
    </row>
    <row r="280" spans="1:11" ht="21.75" customHeight="1" x14ac:dyDescent="0.25">
      <c r="A280" s="2">
        <f t="shared" si="21"/>
        <v>2021</v>
      </c>
      <c r="B280" s="2">
        <f t="shared" si="22"/>
        <v>7</v>
      </c>
      <c r="C280" s="2" t="str">
        <f t="shared" si="23"/>
        <v>월</v>
      </c>
      <c r="D280" s="3">
        <v>44389</v>
      </c>
      <c r="E280" s="7">
        <v>0</v>
      </c>
      <c r="F280" s="2">
        <v>0</v>
      </c>
      <c r="I280" s="1">
        <f>+COUNTIF(F$3:$F280,F280)</f>
        <v>1</v>
      </c>
      <c r="K280" s="132" t="str">
        <f t="shared" si="24"/>
        <v>평일</v>
      </c>
    </row>
    <row r="281" spans="1:11" ht="21.75" customHeight="1" x14ac:dyDescent="0.25">
      <c r="A281" s="2">
        <f t="shared" si="21"/>
        <v>2021</v>
      </c>
      <c r="B281" s="2">
        <f t="shared" si="22"/>
        <v>7</v>
      </c>
      <c r="C281" s="2" t="str">
        <f t="shared" si="23"/>
        <v>화</v>
      </c>
      <c r="D281" s="3">
        <v>44390</v>
      </c>
      <c r="E281" s="7">
        <v>0</v>
      </c>
      <c r="F281" s="2">
        <v>0</v>
      </c>
      <c r="I281" s="1">
        <f>+COUNTIF(F$3:$F281,F281)</f>
        <v>2</v>
      </c>
      <c r="K281" s="132" t="str">
        <f t="shared" si="24"/>
        <v>평일</v>
      </c>
    </row>
    <row r="282" spans="1:11" ht="21.75" customHeight="1" x14ac:dyDescent="0.25">
      <c r="A282" s="2">
        <f t="shared" si="21"/>
        <v>2021</v>
      </c>
      <c r="B282" s="2">
        <f t="shared" si="22"/>
        <v>7</v>
      </c>
      <c r="C282" s="2" t="str">
        <f t="shared" si="23"/>
        <v>수</v>
      </c>
      <c r="D282" s="3">
        <v>44391</v>
      </c>
      <c r="E282" s="7">
        <v>0</v>
      </c>
      <c r="F282" s="2">
        <v>0</v>
      </c>
      <c r="I282" s="1">
        <f>+COUNTIF(F$3:$F282,F282)</f>
        <v>3</v>
      </c>
      <c r="K282" s="132" t="str">
        <f t="shared" si="24"/>
        <v>평일</v>
      </c>
    </row>
    <row r="283" spans="1:11" ht="21.75" customHeight="1" x14ac:dyDescent="0.25">
      <c r="A283" s="2">
        <f t="shared" si="21"/>
        <v>2021</v>
      </c>
      <c r="B283" s="2">
        <f t="shared" si="22"/>
        <v>7</v>
      </c>
      <c r="C283" s="2" t="str">
        <f t="shared" si="23"/>
        <v>목</v>
      </c>
      <c r="D283" s="3">
        <v>44392</v>
      </c>
      <c r="E283" s="7">
        <v>0</v>
      </c>
      <c r="F283" s="2">
        <v>0</v>
      </c>
      <c r="I283" s="1">
        <f>+COUNTIF(F$3:$F283,F283)</f>
        <v>4</v>
      </c>
      <c r="K283" s="132" t="str">
        <f t="shared" si="24"/>
        <v>평일</v>
      </c>
    </row>
    <row r="284" spans="1:11" ht="21.75" customHeight="1" x14ac:dyDescent="0.25">
      <c r="A284" s="2">
        <f t="shared" si="21"/>
        <v>2021</v>
      </c>
      <c r="B284" s="2">
        <f t="shared" si="22"/>
        <v>7</v>
      </c>
      <c r="C284" s="2" t="str">
        <f t="shared" si="23"/>
        <v>금</v>
      </c>
      <c r="D284" s="3">
        <v>44393</v>
      </c>
      <c r="E284" s="7">
        <v>0</v>
      </c>
      <c r="F284" s="2">
        <v>0</v>
      </c>
      <c r="I284" s="1">
        <f>+COUNTIF(F$3:$F284,F284)</f>
        <v>5</v>
      </c>
      <c r="K284" s="132" t="str">
        <f t="shared" si="24"/>
        <v>평일</v>
      </c>
    </row>
    <row r="285" spans="1:11" ht="21.75" customHeight="1" x14ac:dyDescent="0.25">
      <c r="A285" s="2">
        <f t="shared" si="21"/>
        <v>2021</v>
      </c>
      <c r="B285" s="2">
        <f t="shared" si="22"/>
        <v>7</v>
      </c>
      <c r="C285" s="2" t="str">
        <f t="shared" si="23"/>
        <v>토</v>
      </c>
      <c r="D285" s="3">
        <v>44394</v>
      </c>
      <c r="E285" s="7">
        <v>0</v>
      </c>
      <c r="F285" s="2">
        <v>0</v>
      </c>
      <c r="I285" s="1">
        <f>+COUNTIF(F$3:$F285,F285)</f>
        <v>6</v>
      </c>
      <c r="K285" s="132" t="str">
        <f t="shared" si="24"/>
        <v>주말</v>
      </c>
    </row>
    <row r="286" spans="1:11" ht="21.75" customHeight="1" x14ac:dyDescent="0.25">
      <c r="A286" s="2">
        <f t="shared" si="21"/>
        <v>2021</v>
      </c>
      <c r="B286" s="2">
        <f t="shared" si="22"/>
        <v>7</v>
      </c>
      <c r="C286" s="2" t="str">
        <f t="shared" si="23"/>
        <v>일</v>
      </c>
      <c r="D286" s="3">
        <v>44395</v>
      </c>
      <c r="E286" s="7">
        <v>0</v>
      </c>
      <c r="F286" s="2">
        <v>0</v>
      </c>
      <c r="I286" s="1">
        <f>+COUNTIF(F$3:$F286,F286)</f>
        <v>7</v>
      </c>
      <c r="K286" s="132" t="str">
        <f t="shared" si="24"/>
        <v>주말</v>
      </c>
    </row>
    <row r="287" spans="1:11" ht="21.75" customHeight="1" x14ac:dyDescent="0.25">
      <c r="A287" s="2">
        <f t="shared" si="21"/>
        <v>2021</v>
      </c>
      <c r="B287" s="2">
        <f t="shared" si="22"/>
        <v>7</v>
      </c>
      <c r="C287" s="2" t="str">
        <f t="shared" si="23"/>
        <v>월</v>
      </c>
      <c r="D287" s="3">
        <v>44396</v>
      </c>
      <c r="E287" s="7">
        <v>0</v>
      </c>
      <c r="F287" s="2">
        <v>0</v>
      </c>
      <c r="I287" s="1">
        <f>+COUNTIF(F$3:$F287,F287)</f>
        <v>8</v>
      </c>
      <c r="K287" s="132" t="str">
        <f t="shared" si="24"/>
        <v>평일</v>
      </c>
    </row>
    <row r="288" spans="1:11" ht="21.75" customHeight="1" x14ac:dyDescent="0.25">
      <c r="A288" s="2">
        <f t="shared" si="21"/>
        <v>2021</v>
      </c>
      <c r="B288" s="2">
        <f t="shared" si="22"/>
        <v>7</v>
      </c>
      <c r="C288" s="2" t="str">
        <f t="shared" si="23"/>
        <v>화</v>
      </c>
      <c r="D288" s="3">
        <v>44397</v>
      </c>
      <c r="E288" s="7">
        <v>0</v>
      </c>
      <c r="F288" s="2">
        <v>0</v>
      </c>
      <c r="I288" s="1">
        <f>+COUNTIF(F$3:$F288,F288)</f>
        <v>9</v>
      </c>
      <c r="K288" s="132" t="str">
        <f t="shared" si="24"/>
        <v>평일</v>
      </c>
    </row>
    <row r="289" spans="1:11" ht="21.75" customHeight="1" x14ac:dyDescent="0.25">
      <c r="A289" s="2">
        <f t="shared" si="21"/>
        <v>2021</v>
      </c>
      <c r="B289" s="2">
        <f t="shared" si="22"/>
        <v>7</v>
      </c>
      <c r="C289" s="2" t="str">
        <f t="shared" si="23"/>
        <v>수</v>
      </c>
      <c r="D289" s="3">
        <v>44398</v>
      </c>
      <c r="E289" s="7">
        <v>0</v>
      </c>
      <c r="F289" s="2">
        <v>0</v>
      </c>
      <c r="I289" s="1">
        <f>+COUNTIF(F$3:$F289,F289)</f>
        <v>10</v>
      </c>
      <c r="K289" s="132" t="str">
        <f t="shared" si="24"/>
        <v>평일</v>
      </c>
    </row>
    <row r="290" spans="1:11" ht="21.75" customHeight="1" x14ac:dyDescent="0.25">
      <c r="A290" s="2">
        <f t="shared" si="21"/>
        <v>2021</v>
      </c>
      <c r="B290" s="2">
        <f t="shared" si="22"/>
        <v>7</v>
      </c>
      <c r="C290" s="2" t="str">
        <f t="shared" si="23"/>
        <v>목</v>
      </c>
      <c r="D290" s="3">
        <v>44399</v>
      </c>
      <c r="E290" s="7">
        <v>0</v>
      </c>
      <c r="F290" s="2">
        <v>0</v>
      </c>
      <c r="I290" s="1">
        <f>+COUNTIF(F$3:$F290,F290)</f>
        <v>11</v>
      </c>
      <c r="K290" s="132" t="str">
        <f t="shared" si="24"/>
        <v>평일</v>
      </c>
    </row>
    <row r="291" spans="1:11" ht="21.75" customHeight="1" x14ac:dyDescent="0.25">
      <c r="A291" s="2">
        <f t="shared" si="21"/>
        <v>2021</v>
      </c>
      <c r="B291" s="2">
        <f t="shared" si="22"/>
        <v>7</v>
      </c>
      <c r="C291" s="2" t="str">
        <f t="shared" si="23"/>
        <v>금</v>
      </c>
      <c r="D291" s="3">
        <v>44400</v>
      </c>
      <c r="E291" s="7">
        <v>0</v>
      </c>
      <c r="F291" s="2">
        <v>0</v>
      </c>
      <c r="I291" s="1">
        <f>+COUNTIF(F$3:$F291,F291)</f>
        <v>12</v>
      </c>
      <c r="K291" s="132" t="str">
        <f t="shared" si="24"/>
        <v>평일</v>
      </c>
    </row>
    <row r="292" spans="1:11" ht="21.75" customHeight="1" x14ac:dyDescent="0.25">
      <c r="A292" s="2">
        <f t="shared" si="21"/>
        <v>2021</v>
      </c>
      <c r="B292" s="2">
        <f t="shared" si="22"/>
        <v>7</v>
      </c>
      <c r="C292" s="2" t="str">
        <f t="shared" si="23"/>
        <v>토</v>
      </c>
      <c r="D292" s="3">
        <v>44401</v>
      </c>
      <c r="E292" s="7">
        <v>0</v>
      </c>
      <c r="F292" s="2">
        <v>0</v>
      </c>
      <c r="I292" s="1">
        <f>+COUNTIF(F$3:$F292,F292)</f>
        <v>13</v>
      </c>
      <c r="K292" s="132" t="str">
        <f t="shared" si="24"/>
        <v>주말</v>
      </c>
    </row>
    <row r="293" spans="1:11" ht="21.75" customHeight="1" x14ac:dyDescent="0.25">
      <c r="A293" s="2">
        <f t="shared" si="21"/>
        <v>2021</v>
      </c>
      <c r="B293" s="2">
        <f t="shared" si="22"/>
        <v>7</v>
      </c>
      <c r="C293" s="2" t="str">
        <f t="shared" si="23"/>
        <v>일</v>
      </c>
      <c r="D293" s="3">
        <v>44402</v>
      </c>
      <c r="E293" s="7">
        <v>0</v>
      </c>
      <c r="F293" s="2">
        <v>0</v>
      </c>
      <c r="I293" s="1">
        <f>+COUNTIF(F$3:$F293,F293)</f>
        <v>14</v>
      </c>
      <c r="K293" s="132" t="str">
        <f t="shared" si="24"/>
        <v>주말</v>
      </c>
    </row>
    <row r="294" spans="1:11" ht="21.75" customHeight="1" x14ac:dyDescent="0.25">
      <c r="A294" s="2">
        <f t="shared" si="21"/>
        <v>2021</v>
      </c>
      <c r="B294" s="2">
        <f t="shared" si="22"/>
        <v>7</v>
      </c>
      <c r="C294" s="2" t="str">
        <f t="shared" si="23"/>
        <v>월</v>
      </c>
      <c r="D294" s="3">
        <v>44403</v>
      </c>
      <c r="E294" s="7">
        <v>0</v>
      </c>
      <c r="F294" s="2">
        <v>0</v>
      </c>
      <c r="I294" s="1">
        <f>+COUNTIF(F$3:$F294,F294)</f>
        <v>15</v>
      </c>
      <c r="K294" s="132" t="str">
        <f t="shared" si="24"/>
        <v>평일</v>
      </c>
    </row>
    <row r="295" spans="1:11" ht="21.75" customHeight="1" x14ac:dyDescent="0.25">
      <c r="A295" s="2">
        <f t="shared" si="21"/>
        <v>2021</v>
      </c>
      <c r="B295" s="2">
        <f t="shared" si="22"/>
        <v>7</v>
      </c>
      <c r="C295" s="2" t="str">
        <f t="shared" si="23"/>
        <v>화</v>
      </c>
      <c r="D295" s="3">
        <v>44404</v>
      </c>
      <c r="E295" s="7">
        <v>0</v>
      </c>
      <c r="F295" s="2">
        <v>0</v>
      </c>
      <c r="I295" s="1">
        <f>+COUNTIF(F$3:$F295,F295)</f>
        <v>16</v>
      </c>
      <c r="K295" s="132" t="str">
        <f t="shared" si="24"/>
        <v>평일</v>
      </c>
    </row>
    <row r="296" spans="1:11" ht="21.75" customHeight="1" x14ac:dyDescent="0.25">
      <c r="A296" s="2">
        <f t="shared" si="21"/>
        <v>2021</v>
      </c>
      <c r="B296" s="2">
        <f t="shared" si="22"/>
        <v>7</v>
      </c>
      <c r="C296" s="2" t="str">
        <f t="shared" si="23"/>
        <v>수</v>
      </c>
      <c r="D296" s="3">
        <v>44405</v>
      </c>
      <c r="E296" s="7">
        <v>0</v>
      </c>
      <c r="F296" s="2">
        <v>0</v>
      </c>
      <c r="I296" s="1">
        <f>+COUNTIF(F$3:$F296,F296)</f>
        <v>17</v>
      </c>
      <c r="K296" s="132" t="str">
        <f t="shared" si="24"/>
        <v>평일</v>
      </c>
    </row>
    <row r="297" spans="1:11" ht="21.75" customHeight="1" x14ac:dyDescent="0.25">
      <c r="A297" s="2">
        <f t="shared" si="21"/>
        <v>2021</v>
      </c>
      <c r="B297" s="2">
        <f t="shared" si="22"/>
        <v>7</v>
      </c>
      <c r="C297" s="2" t="str">
        <f t="shared" si="23"/>
        <v>목</v>
      </c>
      <c r="D297" s="3">
        <v>44406</v>
      </c>
      <c r="E297" s="7">
        <v>0</v>
      </c>
      <c r="F297" s="2">
        <v>0</v>
      </c>
      <c r="I297" s="1">
        <f>+COUNTIF(F$3:$F297,F297)</f>
        <v>18</v>
      </c>
      <c r="K297" s="132" t="str">
        <f t="shared" si="24"/>
        <v>평일</v>
      </c>
    </row>
    <row r="298" spans="1:11" ht="21.75" customHeight="1" x14ac:dyDescent="0.25">
      <c r="A298" s="2">
        <f t="shared" si="21"/>
        <v>2021</v>
      </c>
      <c r="B298" s="2">
        <f t="shared" si="22"/>
        <v>7</v>
      </c>
      <c r="C298" s="2" t="str">
        <f t="shared" si="23"/>
        <v>금</v>
      </c>
      <c r="D298" s="3">
        <v>44407</v>
      </c>
      <c r="E298" s="7">
        <v>0</v>
      </c>
      <c r="F298" s="2">
        <v>0</v>
      </c>
      <c r="I298" s="1">
        <f>+COUNTIF(F$3:$F298,F298)</f>
        <v>19</v>
      </c>
      <c r="K298" s="132" t="str">
        <f t="shared" si="24"/>
        <v>평일</v>
      </c>
    </row>
    <row r="299" spans="1:11" ht="21.75" customHeight="1" x14ac:dyDescent="0.25">
      <c r="A299" s="2">
        <f t="shared" si="21"/>
        <v>2021</v>
      </c>
      <c r="B299" s="2">
        <f t="shared" si="22"/>
        <v>7</v>
      </c>
      <c r="C299" s="2" t="str">
        <f t="shared" si="23"/>
        <v>토</v>
      </c>
      <c r="D299" s="3">
        <v>44408</v>
      </c>
      <c r="E299" s="7">
        <v>0</v>
      </c>
      <c r="F299" s="2">
        <v>0</v>
      </c>
      <c r="I299" s="1">
        <f>+COUNTIF(F$3:$F299,F299)</f>
        <v>20</v>
      </c>
      <c r="K299" s="132" t="str">
        <f t="shared" si="24"/>
        <v>주말</v>
      </c>
    </row>
    <row r="300" spans="1:11" ht="21.75" customHeight="1" x14ac:dyDescent="0.25">
      <c r="A300" s="2">
        <f t="shared" si="21"/>
        <v>2021</v>
      </c>
      <c r="B300" s="2">
        <f t="shared" si="22"/>
        <v>8</v>
      </c>
      <c r="C300" s="2" t="str">
        <f t="shared" si="23"/>
        <v>일</v>
      </c>
      <c r="D300" s="3">
        <v>44409</v>
      </c>
      <c r="E300" s="7">
        <v>0</v>
      </c>
      <c r="F300" s="2">
        <v>0</v>
      </c>
      <c r="I300" s="1">
        <f>+COUNTIF(F$3:$F300,F300)</f>
        <v>21</v>
      </c>
      <c r="K300" s="132" t="str">
        <f t="shared" si="24"/>
        <v>주말</v>
      </c>
    </row>
    <row r="301" spans="1:11" ht="21.75" customHeight="1" x14ac:dyDescent="0.25">
      <c r="A301" s="2">
        <f t="shared" si="21"/>
        <v>2021</v>
      </c>
      <c r="B301" s="2">
        <f t="shared" si="22"/>
        <v>8</v>
      </c>
      <c r="C301" s="2" t="str">
        <f t="shared" si="23"/>
        <v>월</v>
      </c>
      <c r="D301" s="3">
        <v>44410</v>
      </c>
      <c r="E301" s="7">
        <v>0</v>
      </c>
      <c r="F301" s="2">
        <v>0</v>
      </c>
      <c r="I301" s="1">
        <f>+COUNTIF(F$3:$F301,F301)</f>
        <v>22</v>
      </c>
      <c r="K301" s="132" t="str">
        <f t="shared" si="24"/>
        <v>평일</v>
      </c>
    </row>
    <row r="302" spans="1:11" ht="21.75" customHeight="1" x14ac:dyDescent="0.25">
      <c r="A302" s="2">
        <f t="shared" si="21"/>
        <v>2021</v>
      </c>
      <c r="B302" s="2">
        <f t="shared" si="22"/>
        <v>8</v>
      </c>
      <c r="C302" s="2" t="str">
        <f t="shared" si="23"/>
        <v>화</v>
      </c>
      <c r="D302" s="3">
        <v>44411</v>
      </c>
      <c r="E302" s="7">
        <v>0</v>
      </c>
      <c r="F302" s="2">
        <v>0</v>
      </c>
      <c r="I302" s="1">
        <f>+COUNTIF(F$3:$F302,F302)</f>
        <v>23</v>
      </c>
      <c r="K302" s="132" t="str">
        <f t="shared" si="24"/>
        <v>평일</v>
      </c>
    </row>
    <row r="303" spans="1:11" ht="21.75" customHeight="1" x14ac:dyDescent="0.25">
      <c r="A303" s="2">
        <f t="shared" si="21"/>
        <v>2021</v>
      </c>
      <c r="B303" s="2">
        <f t="shared" si="22"/>
        <v>8</v>
      </c>
      <c r="C303" s="2" t="str">
        <f t="shared" si="23"/>
        <v>수</v>
      </c>
      <c r="D303" s="3">
        <v>44412</v>
      </c>
      <c r="E303" s="7">
        <v>0</v>
      </c>
      <c r="F303" s="2">
        <v>0</v>
      </c>
      <c r="I303" s="1">
        <f>+COUNTIF(F$3:$F303,F303)</f>
        <v>24</v>
      </c>
      <c r="K303" s="132" t="str">
        <f t="shared" si="24"/>
        <v>평일</v>
      </c>
    </row>
    <row r="304" spans="1:11" ht="21.75" customHeight="1" x14ac:dyDescent="0.25">
      <c r="A304" s="2">
        <f t="shared" si="21"/>
        <v>2021</v>
      </c>
      <c r="B304" s="2">
        <f t="shared" si="22"/>
        <v>8</v>
      </c>
      <c r="C304" s="2" t="str">
        <f t="shared" si="23"/>
        <v>목</v>
      </c>
      <c r="D304" s="3">
        <v>44413</v>
      </c>
      <c r="E304" s="7">
        <v>0</v>
      </c>
      <c r="F304" s="2">
        <v>0</v>
      </c>
      <c r="I304" s="1">
        <f>+COUNTIF(F$3:$F304,F304)</f>
        <v>25</v>
      </c>
      <c r="K304" s="132" t="str">
        <f t="shared" si="24"/>
        <v>평일</v>
      </c>
    </row>
    <row r="305" spans="1:11" ht="21.75" customHeight="1" x14ac:dyDescent="0.25">
      <c r="A305" s="2">
        <f t="shared" si="21"/>
        <v>2021</v>
      </c>
      <c r="B305" s="2">
        <f t="shared" si="22"/>
        <v>8</v>
      </c>
      <c r="C305" s="2" t="str">
        <f t="shared" si="23"/>
        <v>금</v>
      </c>
      <c r="D305" s="3">
        <v>44414</v>
      </c>
      <c r="E305" s="7">
        <v>0</v>
      </c>
      <c r="F305" s="2">
        <v>0</v>
      </c>
      <c r="I305" s="1">
        <f>+COUNTIF(F$3:$F305,F305)</f>
        <v>26</v>
      </c>
      <c r="K305" s="132" t="str">
        <f t="shared" si="24"/>
        <v>평일</v>
      </c>
    </row>
    <row r="306" spans="1:11" ht="21.75" customHeight="1" x14ac:dyDescent="0.25">
      <c r="A306" s="2">
        <f t="shared" si="21"/>
        <v>2021</v>
      </c>
      <c r="B306" s="2">
        <f t="shared" si="22"/>
        <v>8</v>
      </c>
      <c r="C306" s="2" t="str">
        <f t="shared" si="23"/>
        <v>토</v>
      </c>
      <c r="D306" s="3">
        <v>44415</v>
      </c>
      <c r="E306" s="7">
        <v>0</v>
      </c>
      <c r="F306" s="2">
        <v>0</v>
      </c>
      <c r="I306" s="1">
        <f>+COUNTIF(F$3:$F306,F306)</f>
        <v>27</v>
      </c>
      <c r="K306" s="132" t="str">
        <f t="shared" si="24"/>
        <v>주말</v>
      </c>
    </row>
    <row r="307" spans="1:11" ht="21.75" customHeight="1" x14ac:dyDescent="0.25">
      <c r="A307" s="2">
        <f t="shared" si="21"/>
        <v>2021</v>
      </c>
      <c r="B307" s="2">
        <f t="shared" si="22"/>
        <v>8</v>
      </c>
      <c r="C307" s="2" t="str">
        <f t="shared" si="23"/>
        <v>일</v>
      </c>
      <c r="D307" s="3">
        <v>44416</v>
      </c>
      <c r="E307" s="7">
        <v>0</v>
      </c>
      <c r="F307" s="2">
        <v>0</v>
      </c>
      <c r="I307" s="1">
        <f>+COUNTIF(F$3:$F307,F307)</f>
        <v>28</v>
      </c>
      <c r="K307" s="132" t="str">
        <f t="shared" si="24"/>
        <v>주말</v>
      </c>
    </row>
    <row r="308" spans="1:11" ht="21.75" customHeight="1" x14ac:dyDescent="0.25">
      <c r="A308" s="2">
        <f t="shared" si="21"/>
        <v>2021</v>
      </c>
      <c r="B308" s="2">
        <f t="shared" si="22"/>
        <v>8</v>
      </c>
      <c r="C308" s="2" t="str">
        <f t="shared" si="23"/>
        <v>월</v>
      </c>
      <c r="D308" s="3">
        <v>44417</v>
      </c>
      <c r="E308" s="7">
        <v>0</v>
      </c>
      <c r="F308" s="2">
        <v>0</v>
      </c>
      <c r="I308" s="1">
        <f>+COUNTIF(F$3:$F308,F308)</f>
        <v>29</v>
      </c>
      <c r="K308" s="132" t="str">
        <f t="shared" si="24"/>
        <v>평일</v>
      </c>
    </row>
    <row r="309" spans="1:11" ht="21.75" customHeight="1" x14ac:dyDescent="0.25">
      <c r="A309" s="2">
        <f t="shared" si="21"/>
        <v>2021</v>
      </c>
      <c r="B309" s="2">
        <f t="shared" si="22"/>
        <v>8</v>
      </c>
      <c r="C309" s="2" t="str">
        <f t="shared" si="23"/>
        <v>화</v>
      </c>
      <c r="D309" s="3">
        <v>44418</v>
      </c>
      <c r="E309" s="7">
        <v>0</v>
      </c>
      <c r="F309" s="2">
        <v>0</v>
      </c>
      <c r="I309" s="1">
        <f>+COUNTIF(F$3:$F309,F309)</f>
        <v>30</v>
      </c>
      <c r="K309" s="132" t="str">
        <f t="shared" si="24"/>
        <v>평일</v>
      </c>
    </row>
    <row r="310" spans="1:11" ht="21.75" customHeight="1" x14ac:dyDescent="0.25">
      <c r="A310" s="2">
        <f t="shared" si="21"/>
        <v>2021</v>
      </c>
      <c r="B310" s="2">
        <f t="shared" si="22"/>
        <v>8</v>
      </c>
      <c r="C310" s="2" t="str">
        <f t="shared" si="23"/>
        <v>수</v>
      </c>
      <c r="D310" s="3">
        <v>44419</v>
      </c>
      <c r="E310" s="7">
        <v>0</v>
      </c>
      <c r="F310" s="2">
        <v>0</v>
      </c>
      <c r="I310" s="1">
        <f>+COUNTIF(F$3:$F310,F310)</f>
        <v>31</v>
      </c>
      <c r="K310" s="132" t="str">
        <f t="shared" si="24"/>
        <v>평일</v>
      </c>
    </row>
    <row r="311" spans="1:11" ht="21.75" customHeight="1" x14ac:dyDescent="0.25">
      <c r="A311" s="2">
        <f t="shared" si="21"/>
        <v>2021</v>
      </c>
      <c r="B311" s="2">
        <f t="shared" si="22"/>
        <v>8</v>
      </c>
      <c r="C311" s="2" t="str">
        <f t="shared" si="23"/>
        <v>목</v>
      </c>
      <c r="D311" s="3">
        <v>44420</v>
      </c>
      <c r="E311" s="7">
        <v>0</v>
      </c>
      <c r="F311" s="2">
        <v>0</v>
      </c>
      <c r="I311" s="1">
        <f>+COUNTIF(F$3:$F311,F311)</f>
        <v>32</v>
      </c>
      <c r="K311" s="132" t="str">
        <f t="shared" si="24"/>
        <v>평일</v>
      </c>
    </row>
    <row r="312" spans="1:11" ht="21.75" customHeight="1" x14ac:dyDescent="0.25">
      <c r="A312" s="2">
        <f t="shared" si="21"/>
        <v>2021</v>
      </c>
      <c r="B312" s="2">
        <f t="shared" si="22"/>
        <v>8</v>
      </c>
      <c r="C312" s="2" t="str">
        <f t="shared" si="23"/>
        <v>금</v>
      </c>
      <c r="D312" s="3">
        <v>44421</v>
      </c>
      <c r="E312" s="7">
        <v>0</v>
      </c>
      <c r="F312" s="2">
        <v>0</v>
      </c>
      <c r="I312" s="1">
        <f>+COUNTIF(F$3:$F312,F312)</f>
        <v>33</v>
      </c>
      <c r="K312" s="132" t="str">
        <f t="shared" si="24"/>
        <v>평일</v>
      </c>
    </row>
    <row r="313" spans="1:11" ht="21.75" customHeight="1" x14ac:dyDescent="0.25">
      <c r="A313" s="2">
        <f t="shared" si="21"/>
        <v>2021</v>
      </c>
      <c r="B313" s="2">
        <f t="shared" si="22"/>
        <v>8</v>
      </c>
      <c r="C313" s="2" t="str">
        <f t="shared" si="23"/>
        <v>토</v>
      </c>
      <c r="D313" s="3">
        <v>44422</v>
      </c>
      <c r="E313" s="7">
        <v>0</v>
      </c>
      <c r="F313" s="2">
        <v>0</v>
      </c>
      <c r="I313" s="1">
        <f>+COUNTIF(F$3:$F313,F313)</f>
        <v>34</v>
      </c>
      <c r="K313" s="132" t="str">
        <f t="shared" si="24"/>
        <v>주말</v>
      </c>
    </row>
    <row r="314" spans="1:11" ht="21.75" customHeight="1" x14ac:dyDescent="0.25">
      <c r="A314" s="2">
        <f t="shared" si="21"/>
        <v>2021</v>
      </c>
      <c r="B314" s="2">
        <f t="shared" si="22"/>
        <v>8</v>
      </c>
      <c r="C314" s="2" t="str">
        <f t="shared" si="23"/>
        <v>일</v>
      </c>
      <c r="D314" s="3">
        <v>44423</v>
      </c>
      <c r="E314" s="7">
        <v>0</v>
      </c>
      <c r="F314" s="2">
        <v>0</v>
      </c>
      <c r="I314" s="1">
        <f>+COUNTIF(F$3:$F314,F314)</f>
        <v>35</v>
      </c>
      <c r="K314" s="132" t="str">
        <f t="shared" si="24"/>
        <v>주말</v>
      </c>
    </row>
    <row r="315" spans="1:11" ht="21.75" customHeight="1" x14ac:dyDescent="0.25">
      <c r="A315" s="2">
        <f t="shared" si="21"/>
        <v>2021</v>
      </c>
      <c r="B315" s="2">
        <f t="shared" si="22"/>
        <v>8</v>
      </c>
      <c r="C315" s="2" t="str">
        <f t="shared" si="23"/>
        <v>월</v>
      </c>
      <c r="D315" s="3">
        <v>44424</v>
      </c>
      <c r="E315" s="7">
        <v>0</v>
      </c>
      <c r="F315" s="2">
        <v>0</v>
      </c>
      <c r="I315" s="1">
        <f>+COUNTIF(F$3:$F315,F315)</f>
        <v>36</v>
      </c>
      <c r="K315" s="132" t="str">
        <f t="shared" si="24"/>
        <v>평일</v>
      </c>
    </row>
    <row r="316" spans="1:11" ht="21.75" customHeight="1" x14ac:dyDescent="0.25">
      <c r="A316" s="2">
        <f t="shared" si="21"/>
        <v>2021</v>
      </c>
      <c r="B316" s="2">
        <f t="shared" si="22"/>
        <v>8</v>
      </c>
      <c r="C316" s="2" t="str">
        <f t="shared" si="23"/>
        <v>화</v>
      </c>
      <c r="D316" s="3">
        <v>44425</v>
      </c>
      <c r="E316" s="7">
        <v>0</v>
      </c>
      <c r="F316" s="2">
        <v>0</v>
      </c>
      <c r="I316" s="1">
        <f>+COUNTIF(F$3:$F316,F316)</f>
        <v>37</v>
      </c>
      <c r="K316" s="132" t="str">
        <f t="shared" si="24"/>
        <v>평일</v>
      </c>
    </row>
    <row r="317" spans="1:11" ht="21.75" customHeight="1" x14ac:dyDescent="0.25">
      <c r="A317" s="2">
        <f t="shared" si="21"/>
        <v>2021</v>
      </c>
      <c r="B317" s="2">
        <f t="shared" si="22"/>
        <v>8</v>
      </c>
      <c r="C317" s="2" t="str">
        <f t="shared" si="23"/>
        <v>수</v>
      </c>
      <c r="D317" s="3">
        <v>44426</v>
      </c>
      <c r="E317" s="7">
        <v>0</v>
      </c>
      <c r="F317" s="2">
        <v>0</v>
      </c>
      <c r="I317" s="1">
        <f>+COUNTIF(F$3:$F317,F317)</f>
        <v>38</v>
      </c>
      <c r="K317" s="132" t="str">
        <f t="shared" si="24"/>
        <v>평일</v>
      </c>
    </row>
    <row r="318" spans="1:11" ht="21.75" customHeight="1" x14ac:dyDescent="0.25">
      <c r="A318" s="2">
        <f t="shared" si="21"/>
        <v>2021</v>
      </c>
      <c r="B318" s="2">
        <f t="shared" si="22"/>
        <v>8</v>
      </c>
      <c r="C318" s="2" t="str">
        <f t="shared" si="23"/>
        <v>목</v>
      </c>
      <c r="D318" s="3">
        <v>44427</v>
      </c>
      <c r="E318" s="7">
        <v>0</v>
      </c>
      <c r="F318" s="2">
        <v>0</v>
      </c>
      <c r="I318" s="1">
        <f>+COUNTIF(F$3:$F318,F318)</f>
        <v>39</v>
      </c>
      <c r="K318" s="132" t="str">
        <f t="shared" si="24"/>
        <v>평일</v>
      </c>
    </row>
    <row r="319" spans="1:11" ht="21.75" customHeight="1" x14ac:dyDescent="0.25">
      <c r="A319" s="2">
        <f t="shared" si="21"/>
        <v>2021</v>
      </c>
      <c r="B319" s="2">
        <f t="shared" si="22"/>
        <v>8</v>
      </c>
      <c r="C319" s="2" t="str">
        <f t="shared" si="23"/>
        <v>금</v>
      </c>
      <c r="D319" s="3">
        <v>44428</v>
      </c>
      <c r="E319" s="7">
        <v>0</v>
      </c>
      <c r="F319" s="2">
        <v>0</v>
      </c>
      <c r="I319" s="1">
        <f>+COUNTIF(F$3:$F319,F319)</f>
        <v>40</v>
      </c>
      <c r="K319" s="132" t="str">
        <f t="shared" si="24"/>
        <v>평일</v>
      </c>
    </row>
    <row r="320" spans="1:11" ht="21.75" customHeight="1" x14ac:dyDescent="0.25">
      <c r="A320" s="2">
        <f t="shared" si="21"/>
        <v>2021</v>
      </c>
      <c r="B320" s="2">
        <f t="shared" si="22"/>
        <v>8</v>
      </c>
      <c r="C320" s="2" t="str">
        <f t="shared" si="23"/>
        <v>토</v>
      </c>
      <c r="D320" s="3">
        <v>44429</v>
      </c>
      <c r="E320" s="7">
        <v>0</v>
      </c>
      <c r="F320" s="2">
        <v>0</v>
      </c>
      <c r="I320" s="1">
        <f>+COUNTIF(F$3:$F320,F320)</f>
        <v>41</v>
      </c>
      <c r="K320" s="132" t="str">
        <f t="shared" si="24"/>
        <v>주말</v>
      </c>
    </row>
    <row r="321" spans="1:11" ht="21.75" customHeight="1" x14ac:dyDescent="0.25">
      <c r="A321" s="2">
        <f t="shared" si="21"/>
        <v>2021</v>
      </c>
      <c r="B321" s="2">
        <f t="shared" si="22"/>
        <v>8</v>
      </c>
      <c r="C321" s="2" t="str">
        <f t="shared" si="23"/>
        <v>일</v>
      </c>
      <c r="D321" s="3">
        <v>44430</v>
      </c>
      <c r="E321" s="7">
        <v>0</v>
      </c>
      <c r="F321" s="2">
        <v>0</v>
      </c>
      <c r="I321" s="1">
        <f>+COUNTIF(F$3:$F321,F321)</f>
        <v>42</v>
      </c>
      <c r="K321" s="132" t="str">
        <f t="shared" si="24"/>
        <v>주말</v>
      </c>
    </row>
    <row r="322" spans="1:11" ht="21.75" customHeight="1" x14ac:dyDescent="0.25">
      <c r="A322" s="2">
        <f t="shared" si="21"/>
        <v>2021</v>
      </c>
      <c r="B322" s="2">
        <f t="shared" si="22"/>
        <v>8</v>
      </c>
      <c r="C322" s="2" t="str">
        <f t="shared" si="23"/>
        <v>월</v>
      </c>
      <c r="D322" s="3">
        <v>44431</v>
      </c>
      <c r="E322" s="7">
        <v>0</v>
      </c>
      <c r="F322" s="2">
        <v>0</v>
      </c>
      <c r="I322" s="1">
        <f>+COUNTIF(F$3:$F322,F322)</f>
        <v>43</v>
      </c>
      <c r="K322" s="132" t="str">
        <f t="shared" si="24"/>
        <v>평일</v>
      </c>
    </row>
    <row r="323" spans="1:11" ht="21.75" customHeight="1" x14ac:dyDescent="0.25">
      <c r="A323" s="2">
        <f t="shared" si="21"/>
        <v>2021</v>
      </c>
      <c r="B323" s="2">
        <f t="shared" si="22"/>
        <v>8</v>
      </c>
      <c r="C323" s="2" t="str">
        <f t="shared" si="23"/>
        <v>화</v>
      </c>
      <c r="D323" s="3">
        <v>44432</v>
      </c>
      <c r="E323" s="7">
        <v>0</v>
      </c>
      <c r="F323" s="2">
        <v>0</v>
      </c>
      <c r="I323" s="1">
        <f>+COUNTIF(F$3:$F323,F323)</f>
        <v>44</v>
      </c>
      <c r="K323" s="132" t="str">
        <f t="shared" si="24"/>
        <v>평일</v>
      </c>
    </row>
    <row r="324" spans="1:11" ht="21.75" customHeight="1" x14ac:dyDescent="0.25">
      <c r="A324" s="2">
        <f t="shared" ref="A324:A387" si="25">+YEAR(D324)</f>
        <v>2021</v>
      </c>
      <c r="B324" s="2">
        <f t="shared" ref="B324:B387" si="26">+MONTH(D324)</f>
        <v>8</v>
      </c>
      <c r="C324" s="2" t="str">
        <f t="shared" ref="C324:C387" si="27">+TEXT(D324,"aaa")</f>
        <v>수</v>
      </c>
      <c r="D324" s="3">
        <v>44433</v>
      </c>
      <c r="E324" s="7">
        <v>0</v>
      </c>
      <c r="F324" s="2">
        <v>0</v>
      </c>
      <c r="I324" s="1">
        <f>+COUNTIF(F$3:$F324,F324)</f>
        <v>45</v>
      </c>
      <c r="K324" s="132" t="str">
        <f t="shared" ref="K324:K387" si="28">+IF(OR(C324="토",C324="일"),"주말","평일")</f>
        <v>평일</v>
      </c>
    </row>
    <row r="325" spans="1:11" ht="21.75" customHeight="1" x14ac:dyDescent="0.25">
      <c r="A325" s="2">
        <f t="shared" si="25"/>
        <v>2021</v>
      </c>
      <c r="B325" s="2">
        <f t="shared" si="26"/>
        <v>8</v>
      </c>
      <c r="C325" s="2" t="str">
        <f t="shared" si="27"/>
        <v>목</v>
      </c>
      <c r="D325" s="3">
        <v>44434</v>
      </c>
      <c r="E325" s="7">
        <v>0</v>
      </c>
      <c r="F325" s="2">
        <v>0</v>
      </c>
      <c r="I325" s="1">
        <f>+COUNTIF(F$3:$F325,F325)</f>
        <v>46</v>
      </c>
      <c r="K325" s="132" t="str">
        <f t="shared" si="28"/>
        <v>평일</v>
      </c>
    </row>
    <row r="326" spans="1:11" ht="21.75" customHeight="1" x14ac:dyDescent="0.25">
      <c r="A326" s="2">
        <f t="shared" si="25"/>
        <v>2021</v>
      </c>
      <c r="B326" s="2">
        <f t="shared" si="26"/>
        <v>8</v>
      </c>
      <c r="C326" s="2" t="str">
        <f t="shared" si="27"/>
        <v>금</v>
      </c>
      <c r="D326" s="3">
        <v>44435</v>
      </c>
      <c r="E326" s="7">
        <v>0</v>
      </c>
      <c r="F326" s="2">
        <v>0</v>
      </c>
      <c r="I326" s="1">
        <f>+COUNTIF(F$3:$F326,F326)</f>
        <v>47</v>
      </c>
      <c r="K326" s="132" t="str">
        <f t="shared" si="28"/>
        <v>평일</v>
      </c>
    </row>
    <row r="327" spans="1:11" ht="21.75" customHeight="1" x14ac:dyDescent="0.25">
      <c r="A327" s="2">
        <f t="shared" si="25"/>
        <v>2021</v>
      </c>
      <c r="B327" s="2">
        <f t="shared" si="26"/>
        <v>8</v>
      </c>
      <c r="C327" s="2" t="str">
        <f t="shared" si="27"/>
        <v>토</v>
      </c>
      <c r="D327" s="3">
        <v>44436</v>
      </c>
      <c r="E327" s="7">
        <v>0</v>
      </c>
      <c r="F327" s="2">
        <v>0</v>
      </c>
      <c r="I327" s="1">
        <f>+COUNTIF(F$3:$F327,F327)</f>
        <v>48</v>
      </c>
      <c r="K327" s="132" t="str">
        <f t="shared" si="28"/>
        <v>주말</v>
      </c>
    </row>
    <row r="328" spans="1:11" ht="21.75" customHeight="1" x14ac:dyDescent="0.25">
      <c r="A328" s="2">
        <f t="shared" si="25"/>
        <v>2021</v>
      </c>
      <c r="B328" s="2">
        <f t="shared" si="26"/>
        <v>8</v>
      </c>
      <c r="C328" s="2" t="str">
        <f t="shared" si="27"/>
        <v>일</v>
      </c>
      <c r="D328" s="3">
        <v>44437</v>
      </c>
      <c r="E328" s="7">
        <v>0</v>
      </c>
      <c r="F328" s="2">
        <v>0</v>
      </c>
      <c r="I328" s="1">
        <f>+COUNTIF(F$3:$F328,F328)</f>
        <v>49</v>
      </c>
      <c r="K328" s="132" t="str">
        <f t="shared" si="28"/>
        <v>주말</v>
      </c>
    </row>
    <row r="329" spans="1:11" ht="21.75" customHeight="1" x14ac:dyDescent="0.25">
      <c r="A329" s="2">
        <f t="shared" si="25"/>
        <v>2021</v>
      </c>
      <c r="B329" s="2">
        <f t="shared" si="26"/>
        <v>8</v>
      </c>
      <c r="C329" s="2" t="str">
        <f t="shared" si="27"/>
        <v>월</v>
      </c>
      <c r="D329" s="3">
        <v>44438</v>
      </c>
      <c r="E329" s="7">
        <v>0</v>
      </c>
      <c r="F329" s="2">
        <v>0</v>
      </c>
      <c r="I329" s="1">
        <f>+COUNTIF(F$3:$F329,F329)</f>
        <v>50</v>
      </c>
      <c r="K329" s="132" t="str">
        <f t="shared" si="28"/>
        <v>평일</v>
      </c>
    </row>
    <row r="330" spans="1:11" ht="21.75" customHeight="1" x14ac:dyDescent="0.25">
      <c r="A330" s="2">
        <f t="shared" si="25"/>
        <v>2021</v>
      </c>
      <c r="B330" s="2">
        <f t="shared" si="26"/>
        <v>8</v>
      </c>
      <c r="C330" s="2" t="str">
        <f t="shared" si="27"/>
        <v>화</v>
      </c>
      <c r="D330" s="3">
        <v>44439</v>
      </c>
      <c r="E330" s="7">
        <v>0</v>
      </c>
      <c r="F330" s="2">
        <v>0</v>
      </c>
      <c r="I330" s="1">
        <f>+COUNTIF(F$3:$F330,F330)</f>
        <v>51</v>
      </c>
      <c r="K330" s="132" t="str">
        <f t="shared" si="28"/>
        <v>평일</v>
      </c>
    </row>
    <row r="331" spans="1:11" ht="21.75" customHeight="1" x14ac:dyDescent="0.25">
      <c r="A331" s="2">
        <f t="shared" si="25"/>
        <v>2021</v>
      </c>
      <c r="B331" s="2">
        <f t="shared" si="26"/>
        <v>9</v>
      </c>
      <c r="C331" s="2" t="str">
        <f t="shared" si="27"/>
        <v>수</v>
      </c>
      <c r="D331" s="3">
        <v>44440</v>
      </c>
      <c r="E331" s="7">
        <v>0</v>
      </c>
      <c r="F331" s="2">
        <v>0</v>
      </c>
      <c r="I331" s="1">
        <f>+COUNTIF(F$3:$F331,F331)</f>
        <v>52</v>
      </c>
      <c r="K331" s="132" t="str">
        <f t="shared" si="28"/>
        <v>평일</v>
      </c>
    </row>
    <row r="332" spans="1:11" ht="21.75" customHeight="1" x14ac:dyDescent="0.25">
      <c r="A332" s="2">
        <f t="shared" si="25"/>
        <v>2021</v>
      </c>
      <c r="B332" s="2">
        <f t="shared" si="26"/>
        <v>9</v>
      </c>
      <c r="C332" s="2" t="str">
        <f t="shared" si="27"/>
        <v>목</v>
      </c>
      <c r="D332" s="3">
        <v>44441</v>
      </c>
      <c r="E332" s="7">
        <v>0</v>
      </c>
      <c r="F332" s="2">
        <v>0</v>
      </c>
      <c r="I332" s="1">
        <f>+COUNTIF(F$3:$F332,F332)</f>
        <v>53</v>
      </c>
      <c r="K332" s="132" t="str">
        <f t="shared" si="28"/>
        <v>평일</v>
      </c>
    </row>
    <row r="333" spans="1:11" ht="21.75" customHeight="1" x14ac:dyDescent="0.25">
      <c r="A333" s="2">
        <f t="shared" si="25"/>
        <v>2021</v>
      </c>
      <c r="B333" s="2">
        <f t="shared" si="26"/>
        <v>9</v>
      </c>
      <c r="C333" s="2" t="str">
        <f t="shared" si="27"/>
        <v>금</v>
      </c>
      <c r="D333" s="3">
        <v>44442</v>
      </c>
      <c r="E333" s="7">
        <v>0</v>
      </c>
      <c r="F333" s="2">
        <v>0</v>
      </c>
      <c r="I333" s="1">
        <f>+COUNTIF(F$3:$F333,F333)</f>
        <v>54</v>
      </c>
      <c r="K333" s="132" t="str">
        <f t="shared" si="28"/>
        <v>평일</v>
      </c>
    </row>
    <row r="334" spans="1:11" ht="21.75" customHeight="1" x14ac:dyDescent="0.25">
      <c r="A334" s="2">
        <f t="shared" si="25"/>
        <v>2021</v>
      </c>
      <c r="B334" s="2">
        <f t="shared" si="26"/>
        <v>9</v>
      </c>
      <c r="C334" s="2" t="str">
        <f t="shared" si="27"/>
        <v>토</v>
      </c>
      <c r="D334" s="3">
        <v>44443</v>
      </c>
      <c r="E334" s="7">
        <v>0</v>
      </c>
      <c r="F334" s="2">
        <v>0</v>
      </c>
      <c r="I334" s="1">
        <f>+COUNTIF(F$3:$F334,F334)</f>
        <v>55</v>
      </c>
      <c r="K334" s="132" t="str">
        <f t="shared" si="28"/>
        <v>주말</v>
      </c>
    </row>
    <row r="335" spans="1:11" ht="21.75" customHeight="1" x14ac:dyDescent="0.25">
      <c r="A335" s="2">
        <f t="shared" si="25"/>
        <v>2021</v>
      </c>
      <c r="B335" s="2">
        <f t="shared" si="26"/>
        <v>9</v>
      </c>
      <c r="C335" s="2" t="str">
        <f t="shared" si="27"/>
        <v>일</v>
      </c>
      <c r="D335" s="3">
        <v>44444</v>
      </c>
      <c r="E335" s="7">
        <v>0</v>
      </c>
      <c r="F335" s="2">
        <v>0</v>
      </c>
      <c r="I335" s="1">
        <f>+COUNTIF(F$3:$F335,F335)</f>
        <v>56</v>
      </c>
      <c r="K335" s="132" t="str">
        <f t="shared" si="28"/>
        <v>주말</v>
      </c>
    </row>
    <row r="336" spans="1:11" ht="21.75" customHeight="1" x14ac:dyDescent="0.25">
      <c r="A336" s="2">
        <f t="shared" si="25"/>
        <v>2021</v>
      </c>
      <c r="B336" s="2">
        <f t="shared" si="26"/>
        <v>9</v>
      </c>
      <c r="C336" s="2" t="str">
        <f t="shared" si="27"/>
        <v>월</v>
      </c>
      <c r="D336" s="3">
        <v>44445</v>
      </c>
      <c r="E336" s="7">
        <v>0</v>
      </c>
      <c r="F336" s="2">
        <v>0</v>
      </c>
      <c r="I336" s="1">
        <f>+COUNTIF(F$3:$F336,F336)</f>
        <v>57</v>
      </c>
      <c r="K336" s="132" t="str">
        <f t="shared" si="28"/>
        <v>평일</v>
      </c>
    </row>
    <row r="337" spans="1:11" ht="21.75" customHeight="1" x14ac:dyDescent="0.25">
      <c r="A337" s="2">
        <f t="shared" si="25"/>
        <v>2021</v>
      </c>
      <c r="B337" s="2">
        <f t="shared" si="26"/>
        <v>9</v>
      </c>
      <c r="C337" s="2" t="str">
        <f t="shared" si="27"/>
        <v>화</v>
      </c>
      <c r="D337" s="3">
        <v>44446</v>
      </c>
      <c r="E337" s="7">
        <v>0</v>
      </c>
      <c r="F337" s="2">
        <v>0</v>
      </c>
      <c r="I337" s="1">
        <f>+COUNTIF(F$3:$F337,F337)</f>
        <v>58</v>
      </c>
      <c r="K337" s="132" t="str">
        <f t="shared" si="28"/>
        <v>평일</v>
      </c>
    </row>
    <row r="338" spans="1:11" ht="21.75" customHeight="1" x14ac:dyDescent="0.25">
      <c r="A338" s="2">
        <f t="shared" si="25"/>
        <v>2021</v>
      </c>
      <c r="B338" s="2">
        <f t="shared" si="26"/>
        <v>9</v>
      </c>
      <c r="C338" s="2" t="str">
        <f t="shared" si="27"/>
        <v>수</v>
      </c>
      <c r="D338" s="3">
        <v>44447</v>
      </c>
      <c r="E338" s="7">
        <v>0</v>
      </c>
      <c r="F338" s="2">
        <v>0</v>
      </c>
      <c r="I338" s="1">
        <f>+COUNTIF(F$3:$F338,F338)</f>
        <v>59</v>
      </c>
      <c r="K338" s="132" t="str">
        <f t="shared" si="28"/>
        <v>평일</v>
      </c>
    </row>
    <row r="339" spans="1:11" ht="21.75" customHeight="1" x14ac:dyDescent="0.25">
      <c r="A339" s="2">
        <f t="shared" si="25"/>
        <v>2021</v>
      </c>
      <c r="B339" s="2">
        <f t="shared" si="26"/>
        <v>9</v>
      </c>
      <c r="C339" s="2" t="str">
        <f t="shared" si="27"/>
        <v>목</v>
      </c>
      <c r="D339" s="3">
        <v>44448</v>
      </c>
      <c r="E339" s="7">
        <v>0</v>
      </c>
      <c r="F339" s="2">
        <v>0</v>
      </c>
      <c r="I339" s="1">
        <f>+COUNTIF(F$3:$F339,F339)</f>
        <v>60</v>
      </c>
      <c r="K339" s="132" t="str">
        <f t="shared" si="28"/>
        <v>평일</v>
      </c>
    </row>
    <row r="340" spans="1:11" ht="21.75" customHeight="1" x14ac:dyDescent="0.25">
      <c r="A340" s="2">
        <f t="shared" si="25"/>
        <v>2021</v>
      </c>
      <c r="B340" s="2">
        <f t="shared" si="26"/>
        <v>9</v>
      </c>
      <c r="C340" s="2" t="str">
        <f t="shared" si="27"/>
        <v>금</v>
      </c>
      <c r="D340" s="3">
        <v>44449</v>
      </c>
      <c r="E340" s="7">
        <v>0</v>
      </c>
      <c r="F340" s="2">
        <v>0</v>
      </c>
      <c r="I340" s="1">
        <f>+COUNTIF(F$3:$F340,F340)</f>
        <v>61</v>
      </c>
      <c r="K340" s="132" t="str">
        <f t="shared" si="28"/>
        <v>평일</v>
      </c>
    </row>
    <row r="341" spans="1:11" ht="21.75" customHeight="1" x14ac:dyDescent="0.25">
      <c r="A341" s="2">
        <f t="shared" si="25"/>
        <v>2021</v>
      </c>
      <c r="B341" s="2">
        <f t="shared" si="26"/>
        <v>9</v>
      </c>
      <c r="C341" s="2" t="str">
        <f t="shared" si="27"/>
        <v>토</v>
      </c>
      <c r="D341" s="3">
        <v>44450</v>
      </c>
      <c r="E341" s="7">
        <v>0</v>
      </c>
      <c r="F341" s="2">
        <v>0</v>
      </c>
      <c r="I341" s="1">
        <f>+COUNTIF(F$3:$F341,F341)</f>
        <v>62</v>
      </c>
      <c r="K341" s="132" t="str">
        <f t="shared" si="28"/>
        <v>주말</v>
      </c>
    </row>
    <row r="342" spans="1:11" ht="21.75" customHeight="1" x14ac:dyDescent="0.25">
      <c r="A342" s="2">
        <f t="shared" si="25"/>
        <v>2021</v>
      </c>
      <c r="B342" s="2">
        <f t="shared" si="26"/>
        <v>9</v>
      </c>
      <c r="C342" s="2" t="str">
        <f t="shared" si="27"/>
        <v>일</v>
      </c>
      <c r="D342" s="3">
        <v>44451</v>
      </c>
      <c r="E342" s="7">
        <v>0</v>
      </c>
      <c r="F342" s="2">
        <v>0</v>
      </c>
      <c r="I342" s="1">
        <f>+COUNTIF(F$3:$F342,F342)</f>
        <v>63</v>
      </c>
      <c r="K342" s="132" t="str">
        <f t="shared" si="28"/>
        <v>주말</v>
      </c>
    </row>
    <row r="343" spans="1:11" ht="21.75" customHeight="1" x14ac:dyDescent="0.25">
      <c r="A343" s="2">
        <f t="shared" si="25"/>
        <v>2021</v>
      </c>
      <c r="B343" s="2">
        <f t="shared" si="26"/>
        <v>9</v>
      </c>
      <c r="C343" s="2" t="str">
        <f t="shared" si="27"/>
        <v>월</v>
      </c>
      <c r="D343" s="3">
        <v>44452</v>
      </c>
      <c r="E343" s="7">
        <v>0</v>
      </c>
      <c r="F343" s="2">
        <v>0</v>
      </c>
      <c r="I343" s="1">
        <f>+COUNTIF(F$3:$F343,F343)</f>
        <v>64</v>
      </c>
      <c r="K343" s="132" t="str">
        <f t="shared" si="28"/>
        <v>평일</v>
      </c>
    </row>
    <row r="344" spans="1:11" ht="21.75" customHeight="1" x14ac:dyDescent="0.25">
      <c r="A344" s="2">
        <f t="shared" si="25"/>
        <v>2021</v>
      </c>
      <c r="B344" s="2">
        <f t="shared" si="26"/>
        <v>9</v>
      </c>
      <c r="C344" s="2" t="str">
        <f t="shared" si="27"/>
        <v>화</v>
      </c>
      <c r="D344" s="3">
        <v>44453</v>
      </c>
      <c r="E344" s="7">
        <v>0</v>
      </c>
      <c r="F344" s="2">
        <v>0</v>
      </c>
      <c r="I344" s="1">
        <f>+COUNTIF(F$3:$F344,F344)</f>
        <v>65</v>
      </c>
      <c r="K344" s="132" t="str">
        <f t="shared" si="28"/>
        <v>평일</v>
      </c>
    </row>
    <row r="345" spans="1:11" ht="21.75" customHeight="1" x14ac:dyDescent="0.25">
      <c r="A345" s="2">
        <f t="shared" si="25"/>
        <v>2021</v>
      </c>
      <c r="B345" s="2">
        <f t="shared" si="26"/>
        <v>9</v>
      </c>
      <c r="C345" s="2" t="str">
        <f t="shared" si="27"/>
        <v>수</v>
      </c>
      <c r="D345" s="3">
        <v>44454</v>
      </c>
      <c r="E345" s="7">
        <v>0</v>
      </c>
      <c r="F345" s="2">
        <v>0</v>
      </c>
      <c r="I345" s="1">
        <f>+COUNTIF(F$3:$F345,F345)</f>
        <v>66</v>
      </c>
      <c r="K345" s="132" t="str">
        <f t="shared" si="28"/>
        <v>평일</v>
      </c>
    </row>
    <row r="346" spans="1:11" ht="21.75" customHeight="1" x14ac:dyDescent="0.25">
      <c r="A346" s="2">
        <f t="shared" si="25"/>
        <v>2021</v>
      </c>
      <c r="B346" s="2">
        <f t="shared" si="26"/>
        <v>9</v>
      </c>
      <c r="C346" s="2" t="str">
        <f t="shared" si="27"/>
        <v>목</v>
      </c>
      <c r="D346" s="3">
        <v>44455</v>
      </c>
      <c r="E346" s="7">
        <v>0</v>
      </c>
      <c r="F346" s="2">
        <v>0</v>
      </c>
      <c r="I346" s="1">
        <f>+COUNTIF(F$3:$F346,F346)</f>
        <v>67</v>
      </c>
      <c r="K346" s="132" t="str">
        <f t="shared" si="28"/>
        <v>평일</v>
      </c>
    </row>
    <row r="347" spans="1:11" ht="21.75" customHeight="1" x14ac:dyDescent="0.25">
      <c r="A347" s="2">
        <f t="shared" si="25"/>
        <v>2021</v>
      </c>
      <c r="B347" s="2">
        <f t="shared" si="26"/>
        <v>9</v>
      </c>
      <c r="C347" s="2" t="str">
        <f t="shared" si="27"/>
        <v>금</v>
      </c>
      <c r="D347" s="3">
        <v>44456</v>
      </c>
      <c r="E347" s="7">
        <v>0</v>
      </c>
      <c r="F347" s="2">
        <v>0</v>
      </c>
      <c r="I347" s="1">
        <f>+COUNTIF(F$3:$F347,F347)</f>
        <v>68</v>
      </c>
      <c r="K347" s="132" t="str">
        <f t="shared" si="28"/>
        <v>평일</v>
      </c>
    </row>
    <row r="348" spans="1:11" ht="21.75" customHeight="1" x14ac:dyDescent="0.25">
      <c r="A348" s="2">
        <f t="shared" si="25"/>
        <v>2021</v>
      </c>
      <c r="B348" s="2">
        <f t="shared" si="26"/>
        <v>9</v>
      </c>
      <c r="C348" s="2" t="str">
        <f t="shared" si="27"/>
        <v>토</v>
      </c>
      <c r="D348" s="3">
        <v>44457</v>
      </c>
      <c r="E348" s="7">
        <v>0</v>
      </c>
      <c r="F348" s="2">
        <v>0</v>
      </c>
      <c r="I348" s="1">
        <f>+COUNTIF(F$3:$F348,F348)</f>
        <v>69</v>
      </c>
      <c r="K348" s="132" t="str">
        <f t="shared" si="28"/>
        <v>주말</v>
      </c>
    </row>
    <row r="349" spans="1:11" ht="21.75" customHeight="1" x14ac:dyDescent="0.25">
      <c r="A349" s="2">
        <f t="shared" si="25"/>
        <v>2021</v>
      </c>
      <c r="B349" s="2">
        <f t="shared" si="26"/>
        <v>9</v>
      </c>
      <c r="C349" s="2" t="str">
        <f t="shared" si="27"/>
        <v>일</v>
      </c>
      <c r="D349" s="3">
        <v>44458</v>
      </c>
      <c r="E349" s="7">
        <v>0</v>
      </c>
      <c r="F349" s="2">
        <v>0</v>
      </c>
      <c r="I349" s="1">
        <f>+COUNTIF(F$3:$F349,F349)</f>
        <v>70</v>
      </c>
      <c r="K349" s="132" t="str">
        <f t="shared" si="28"/>
        <v>주말</v>
      </c>
    </row>
    <row r="350" spans="1:11" ht="21.75" customHeight="1" x14ac:dyDescent="0.25">
      <c r="A350" s="2">
        <f t="shared" si="25"/>
        <v>2021</v>
      </c>
      <c r="B350" s="2">
        <f t="shared" si="26"/>
        <v>9</v>
      </c>
      <c r="C350" s="2" t="str">
        <f t="shared" si="27"/>
        <v>월</v>
      </c>
      <c r="D350" s="3">
        <v>44459</v>
      </c>
      <c r="E350" s="7">
        <v>0</v>
      </c>
      <c r="F350" s="2">
        <v>0</v>
      </c>
      <c r="I350" s="1">
        <f>+COUNTIF(F$3:$F350,F350)</f>
        <v>71</v>
      </c>
      <c r="K350" s="132" t="str">
        <f t="shared" si="28"/>
        <v>평일</v>
      </c>
    </row>
    <row r="351" spans="1:11" ht="21.75" customHeight="1" x14ac:dyDescent="0.25">
      <c r="A351" s="2">
        <f t="shared" si="25"/>
        <v>2021</v>
      </c>
      <c r="B351" s="2">
        <f t="shared" si="26"/>
        <v>9</v>
      </c>
      <c r="C351" s="2" t="str">
        <f t="shared" si="27"/>
        <v>화</v>
      </c>
      <c r="D351" s="3">
        <v>44460</v>
      </c>
      <c r="E351" s="7">
        <v>0</v>
      </c>
      <c r="F351" s="2">
        <v>0</v>
      </c>
      <c r="I351" s="1">
        <f>+COUNTIF(F$3:$F351,F351)</f>
        <v>72</v>
      </c>
      <c r="K351" s="132" t="str">
        <f t="shared" si="28"/>
        <v>평일</v>
      </c>
    </row>
    <row r="352" spans="1:11" ht="21.75" customHeight="1" x14ac:dyDescent="0.25">
      <c r="A352" s="2">
        <f t="shared" si="25"/>
        <v>2021</v>
      </c>
      <c r="B352" s="2">
        <f t="shared" si="26"/>
        <v>9</v>
      </c>
      <c r="C352" s="2" t="str">
        <f t="shared" si="27"/>
        <v>수</v>
      </c>
      <c r="D352" s="3">
        <v>44461</v>
      </c>
      <c r="E352" s="7">
        <v>0</v>
      </c>
      <c r="F352" s="2">
        <v>0</v>
      </c>
      <c r="I352" s="1">
        <f>+COUNTIF(F$3:$F352,F352)</f>
        <v>73</v>
      </c>
      <c r="K352" s="132" t="str">
        <f t="shared" si="28"/>
        <v>평일</v>
      </c>
    </row>
    <row r="353" spans="1:11" ht="21.75" customHeight="1" x14ac:dyDescent="0.25">
      <c r="A353" s="2">
        <f t="shared" si="25"/>
        <v>2021</v>
      </c>
      <c r="B353" s="2">
        <f t="shared" si="26"/>
        <v>9</v>
      </c>
      <c r="C353" s="2" t="str">
        <f t="shared" si="27"/>
        <v>목</v>
      </c>
      <c r="D353" s="3">
        <v>44462</v>
      </c>
      <c r="E353" s="7">
        <v>0</v>
      </c>
      <c r="F353" s="2">
        <v>0</v>
      </c>
      <c r="I353" s="1">
        <f>+COUNTIF(F$3:$F353,F353)</f>
        <v>74</v>
      </c>
      <c r="K353" s="132" t="str">
        <f t="shared" si="28"/>
        <v>평일</v>
      </c>
    </row>
    <row r="354" spans="1:11" ht="21.75" customHeight="1" x14ac:dyDescent="0.25">
      <c r="A354" s="2">
        <f t="shared" si="25"/>
        <v>2021</v>
      </c>
      <c r="B354" s="2">
        <f t="shared" si="26"/>
        <v>9</v>
      </c>
      <c r="C354" s="2" t="str">
        <f t="shared" si="27"/>
        <v>금</v>
      </c>
      <c r="D354" s="3">
        <v>44463</v>
      </c>
      <c r="E354" s="7">
        <v>0</v>
      </c>
      <c r="F354" s="2">
        <v>0</v>
      </c>
      <c r="I354" s="1">
        <f>+COUNTIF(F$3:$F354,F354)</f>
        <v>75</v>
      </c>
      <c r="K354" s="132" t="str">
        <f t="shared" si="28"/>
        <v>평일</v>
      </c>
    </row>
    <row r="355" spans="1:11" ht="21.75" customHeight="1" x14ac:dyDescent="0.25">
      <c r="A355" s="2">
        <f t="shared" si="25"/>
        <v>2021</v>
      </c>
      <c r="B355" s="2">
        <f t="shared" si="26"/>
        <v>9</v>
      </c>
      <c r="C355" s="2" t="str">
        <f t="shared" si="27"/>
        <v>토</v>
      </c>
      <c r="D355" s="3">
        <v>44464</v>
      </c>
      <c r="E355" s="7">
        <v>0</v>
      </c>
      <c r="F355" s="2">
        <v>0</v>
      </c>
      <c r="I355" s="1">
        <f>+COUNTIF(F$3:$F355,F355)</f>
        <v>76</v>
      </c>
      <c r="K355" s="132" t="str">
        <f t="shared" si="28"/>
        <v>주말</v>
      </c>
    </row>
    <row r="356" spans="1:11" ht="21.75" customHeight="1" x14ac:dyDescent="0.25">
      <c r="A356" s="2">
        <f t="shared" si="25"/>
        <v>2021</v>
      </c>
      <c r="B356" s="2">
        <f t="shared" si="26"/>
        <v>9</v>
      </c>
      <c r="C356" s="2" t="str">
        <f t="shared" si="27"/>
        <v>일</v>
      </c>
      <c r="D356" s="3">
        <v>44465</v>
      </c>
      <c r="E356" s="7">
        <v>0</v>
      </c>
      <c r="F356" s="2">
        <v>0</v>
      </c>
      <c r="I356" s="1">
        <f>+COUNTIF(F$3:$F356,F356)</f>
        <v>77</v>
      </c>
      <c r="K356" s="132" t="str">
        <f t="shared" si="28"/>
        <v>주말</v>
      </c>
    </row>
    <row r="357" spans="1:11" ht="21.75" customHeight="1" x14ac:dyDescent="0.25">
      <c r="A357" s="2">
        <f t="shared" si="25"/>
        <v>2021</v>
      </c>
      <c r="B357" s="2">
        <f t="shared" si="26"/>
        <v>9</v>
      </c>
      <c r="C357" s="2" t="str">
        <f t="shared" si="27"/>
        <v>월</v>
      </c>
      <c r="D357" s="3">
        <v>44466</v>
      </c>
      <c r="E357" s="7">
        <v>0</v>
      </c>
      <c r="F357" s="2">
        <v>0</v>
      </c>
      <c r="I357" s="1">
        <f>+COUNTIF(F$3:$F357,F357)</f>
        <v>78</v>
      </c>
      <c r="K357" s="132" t="str">
        <f t="shared" si="28"/>
        <v>평일</v>
      </c>
    </row>
    <row r="358" spans="1:11" ht="21.75" customHeight="1" x14ac:dyDescent="0.25">
      <c r="A358" s="2">
        <f t="shared" si="25"/>
        <v>2021</v>
      </c>
      <c r="B358" s="2">
        <f t="shared" si="26"/>
        <v>9</v>
      </c>
      <c r="C358" s="2" t="str">
        <f t="shared" si="27"/>
        <v>화</v>
      </c>
      <c r="D358" s="3">
        <v>44467</v>
      </c>
      <c r="E358" s="7">
        <v>0</v>
      </c>
      <c r="F358" s="2">
        <v>0</v>
      </c>
      <c r="I358" s="1">
        <f>+COUNTIF(F$3:$F358,F358)</f>
        <v>79</v>
      </c>
      <c r="K358" s="132" t="str">
        <f t="shared" si="28"/>
        <v>평일</v>
      </c>
    </row>
    <row r="359" spans="1:11" ht="21.75" customHeight="1" x14ac:dyDescent="0.25">
      <c r="A359" s="2">
        <f t="shared" si="25"/>
        <v>2021</v>
      </c>
      <c r="B359" s="2">
        <f t="shared" si="26"/>
        <v>9</v>
      </c>
      <c r="C359" s="2" t="str">
        <f t="shared" si="27"/>
        <v>수</v>
      </c>
      <c r="D359" s="3">
        <v>44468</v>
      </c>
      <c r="E359" s="7">
        <v>0</v>
      </c>
      <c r="F359" s="2">
        <v>0</v>
      </c>
      <c r="I359" s="1">
        <f>+COUNTIF(F$3:$F359,F359)</f>
        <v>80</v>
      </c>
      <c r="K359" s="132" t="str">
        <f t="shared" si="28"/>
        <v>평일</v>
      </c>
    </row>
    <row r="360" spans="1:11" ht="21.75" customHeight="1" x14ac:dyDescent="0.25">
      <c r="A360" s="2">
        <f t="shared" si="25"/>
        <v>2021</v>
      </c>
      <c r="B360" s="2">
        <f t="shared" si="26"/>
        <v>9</v>
      </c>
      <c r="C360" s="2" t="str">
        <f t="shared" si="27"/>
        <v>목</v>
      </c>
      <c r="D360" s="3">
        <v>44469</v>
      </c>
      <c r="E360" s="7">
        <v>89</v>
      </c>
      <c r="F360" s="2" t="s">
        <v>4</v>
      </c>
      <c r="G360" s="1">
        <v>23</v>
      </c>
      <c r="H360" s="6">
        <f>+E360-G360</f>
        <v>66</v>
      </c>
      <c r="I360" s="1">
        <f>+COUNTIF(F$3:$F360,F360)</f>
        <v>1</v>
      </c>
      <c r="K360" s="132" t="str">
        <f t="shared" si="28"/>
        <v>평일</v>
      </c>
    </row>
    <row r="361" spans="1:11" ht="21.75" customHeight="1" x14ac:dyDescent="0.25">
      <c r="A361" s="2">
        <f t="shared" si="25"/>
        <v>2021</v>
      </c>
      <c r="B361" s="2">
        <f t="shared" si="26"/>
        <v>10</v>
      </c>
      <c r="C361" s="2" t="str">
        <f t="shared" si="27"/>
        <v>금</v>
      </c>
      <c r="D361" s="3">
        <v>44470</v>
      </c>
      <c r="E361" s="7">
        <v>98</v>
      </c>
      <c r="F361" s="2" t="s">
        <v>4</v>
      </c>
      <c r="G361" s="1">
        <v>16</v>
      </c>
      <c r="H361" s="6">
        <f t="shared" ref="H361:H424" si="29">+E361-G361</f>
        <v>82</v>
      </c>
      <c r="I361" s="1">
        <f>+COUNTIF(F$3:$F361,F361)</f>
        <v>2</v>
      </c>
      <c r="K361" s="132" t="str">
        <f t="shared" si="28"/>
        <v>평일</v>
      </c>
    </row>
    <row r="362" spans="1:11" ht="21.75" customHeight="1" x14ac:dyDescent="0.25">
      <c r="A362" s="2">
        <f t="shared" si="25"/>
        <v>2021</v>
      </c>
      <c r="B362" s="2">
        <f t="shared" si="26"/>
        <v>10</v>
      </c>
      <c r="C362" s="2" t="str">
        <f t="shared" si="27"/>
        <v>토</v>
      </c>
      <c r="D362" s="3">
        <v>44471</v>
      </c>
      <c r="E362" s="7">
        <v>188</v>
      </c>
      <c r="F362" s="2" t="s">
        <v>4</v>
      </c>
      <c r="G362" s="1">
        <v>20</v>
      </c>
      <c r="H362" s="6">
        <f t="shared" si="29"/>
        <v>168</v>
      </c>
      <c r="I362" s="1">
        <f>+COUNTIF(F$3:$F362,F362)</f>
        <v>3</v>
      </c>
      <c r="K362" s="132" t="str">
        <f t="shared" si="28"/>
        <v>주말</v>
      </c>
    </row>
    <row r="363" spans="1:11" ht="21.75" customHeight="1" x14ac:dyDescent="0.25">
      <c r="A363" s="2">
        <f t="shared" si="25"/>
        <v>2021</v>
      </c>
      <c r="B363" s="2">
        <f t="shared" si="26"/>
        <v>10</v>
      </c>
      <c r="C363" s="2" t="str">
        <f t="shared" si="27"/>
        <v>일</v>
      </c>
      <c r="D363" s="3">
        <v>44472</v>
      </c>
      <c r="E363" s="7">
        <v>158</v>
      </c>
      <c r="F363" s="2" t="s">
        <v>4</v>
      </c>
      <c r="G363" s="1">
        <v>20</v>
      </c>
      <c r="H363" s="6">
        <f t="shared" si="29"/>
        <v>138</v>
      </c>
      <c r="I363" s="1">
        <f>+COUNTIF(F$3:$F363,F363)</f>
        <v>4</v>
      </c>
      <c r="K363" s="132" t="str">
        <f t="shared" si="28"/>
        <v>주말</v>
      </c>
    </row>
    <row r="364" spans="1:11" ht="21.75" customHeight="1" x14ac:dyDescent="0.25">
      <c r="A364" s="2">
        <f t="shared" si="25"/>
        <v>2021</v>
      </c>
      <c r="B364" s="2">
        <f t="shared" si="26"/>
        <v>10</v>
      </c>
      <c r="C364" s="2" t="str">
        <f t="shared" si="27"/>
        <v>월</v>
      </c>
      <c r="D364" s="3">
        <v>44473</v>
      </c>
      <c r="E364" s="7">
        <v>181</v>
      </c>
      <c r="F364" s="2" t="s">
        <v>4</v>
      </c>
      <c r="G364" s="1">
        <v>17</v>
      </c>
      <c r="H364" s="6">
        <f t="shared" si="29"/>
        <v>164</v>
      </c>
      <c r="I364" s="1">
        <f>+COUNTIF(F$3:$F364,F364)</f>
        <v>5</v>
      </c>
      <c r="K364" s="132" t="str">
        <f t="shared" si="28"/>
        <v>평일</v>
      </c>
    </row>
    <row r="365" spans="1:11" ht="21.75" customHeight="1" x14ac:dyDescent="0.25">
      <c r="A365" s="2">
        <f t="shared" si="25"/>
        <v>2021</v>
      </c>
      <c r="B365" s="2">
        <f t="shared" si="26"/>
        <v>10</v>
      </c>
      <c r="C365" s="2" t="str">
        <f t="shared" si="27"/>
        <v>화</v>
      </c>
      <c r="D365" s="3">
        <v>44474</v>
      </c>
      <c r="E365" s="7">
        <v>36</v>
      </c>
      <c r="F365" s="2" t="s">
        <v>4</v>
      </c>
      <c r="G365" s="1">
        <v>6</v>
      </c>
      <c r="H365" s="6">
        <f t="shared" si="29"/>
        <v>30</v>
      </c>
      <c r="I365" s="1">
        <f>+COUNTIF(F$3:$F365,F365)</f>
        <v>6</v>
      </c>
      <c r="K365" s="132" t="str">
        <f t="shared" si="28"/>
        <v>평일</v>
      </c>
    </row>
    <row r="366" spans="1:11" ht="21.75" customHeight="1" x14ac:dyDescent="0.25">
      <c r="A366" s="2">
        <f t="shared" si="25"/>
        <v>2021</v>
      </c>
      <c r="B366" s="2">
        <f t="shared" si="26"/>
        <v>10</v>
      </c>
      <c r="C366" s="2" t="str">
        <f t="shared" si="27"/>
        <v>수</v>
      </c>
      <c r="D366" s="3">
        <v>44475</v>
      </c>
      <c r="E366" s="7">
        <v>60</v>
      </c>
      <c r="F366" s="2" t="s">
        <v>4</v>
      </c>
      <c r="G366" s="1">
        <v>15</v>
      </c>
      <c r="H366" s="6">
        <f t="shared" si="29"/>
        <v>45</v>
      </c>
      <c r="I366" s="1">
        <f>+COUNTIF(F$3:$F366,F366)</f>
        <v>7</v>
      </c>
      <c r="K366" s="132" t="str">
        <f t="shared" si="28"/>
        <v>평일</v>
      </c>
    </row>
    <row r="367" spans="1:11" ht="21.75" customHeight="1" x14ac:dyDescent="0.25">
      <c r="A367" s="2">
        <f t="shared" si="25"/>
        <v>2021</v>
      </c>
      <c r="B367" s="2">
        <f t="shared" si="26"/>
        <v>10</v>
      </c>
      <c r="C367" s="2" t="str">
        <f t="shared" si="27"/>
        <v>목</v>
      </c>
      <c r="D367" s="3">
        <v>44476</v>
      </c>
      <c r="E367" s="7">
        <v>73</v>
      </c>
      <c r="F367" s="2" t="s">
        <v>4</v>
      </c>
      <c r="G367" s="1">
        <v>16</v>
      </c>
      <c r="H367" s="6">
        <f t="shared" si="29"/>
        <v>57</v>
      </c>
      <c r="I367" s="1">
        <f>+COUNTIF(F$3:$F367,F367)</f>
        <v>8</v>
      </c>
      <c r="K367" s="132" t="str">
        <f t="shared" si="28"/>
        <v>평일</v>
      </c>
    </row>
    <row r="368" spans="1:11" ht="21.75" customHeight="1" x14ac:dyDescent="0.25">
      <c r="A368" s="2">
        <f t="shared" si="25"/>
        <v>2021</v>
      </c>
      <c r="B368" s="2">
        <f t="shared" si="26"/>
        <v>10</v>
      </c>
      <c r="C368" s="2" t="str">
        <f t="shared" si="27"/>
        <v>금</v>
      </c>
      <c r="D368" s="3">
        <v>44477</v>
      </c>
      <c r="E368" s="7">
        <v>110</v>
      </c>
      <c r="F368" s="2" t="s">
        <v>4</v>
      </c>
      <c r="G368" s="1">
        <v>22</v>
      </c>
      <c r="H368" s="6">
        <f t="shared" si="29"/>
        <v>88</v>
      </c>
      <c r="I368" s="1">
        <f>+COUNTIF(F$3:$F368,F368)</f>
        <v>9</v>
      </c>
      <c r="K368" s="132" t="str">
        <f t="shared" si="28"/>
        <v>평일</v>
      </c>
    </row>
    <row r="369" spans="1:11" ht="21.75" customHeight="1" x14ac:dyDescent="0.25">
      <c r="A369" s="2">
        <f t="shared" si="25"/>
        <v>2021</v>
      </c>
      <c r="B369" s="2">
        <f t="shared" si="26"/>
        <v>10</v>
      </c>
      <c r="C369" s="2" t="str">
        <f t="shared" si="27"/>
        <v>토</v>
      </c>
      <c r="D369" s="3">
        <v>44478</v>
      </c>
      <c r="E369" s="7">
        <v>344</v>
      </c>
      <c r="F369" s="2" t="s">
        <v>4</v>
      </c>
      <c r="G369" s="1">
        <v>59</v>
      </c>
      <c r="H369" s="6">
        <f t="shared" si="29"/>
        <v>285</v>
      </c>
      <c r="I369" s="1">
        <f>+COUNTIF(F$3:$F369,F369)</f>
        <v>10</v>
      </c>
      <c r="K369" s="132" t="str">
        <f t="shared" si="28"/>
        <v>주말</v>
      </c>
    </row>
    <row r="370" spans="1:11" ht="21.75" customHeight="1" x14ac:dyDescent="0.25">
      <c r="A370" s="2">
        <f t="shared" si="25"/>
        <v>2021</v>
      </c>
      <c r="B370" s="2">
        <f t="shared" si="26"/>
        <v>10</v>
      </c>
      <c r="C370" s="2" t="str">
        <f t="shared" si="27"/>
        <v>일</v>
      </c>
      <c r="D370" s="3">
        <v>44479</v>
      </c>
      <c r="E370" s="7">
        <v>356</v>
      </c>
      <c r="F370" s="2" t="s">
        <v>4</v>
      </c>
      <c r="G370" s="1">
        <v>51</v>
      </c>
      <c r="H370" s="6">
        <f t="shared" si="29"/>
        <v>305</v>
      </c>
      <c r="I370" s="1">
        <f>+COUNTIF(F$3:$F370,F370)</f>
        <v>11</v>
      </c>
      <c r="K370" s="132" t="str">
        <f t="shared" si="28"/>
        <v>주말</v>
      </c>
    </row>
    <row r="371" spans="1:11" ht="21.75" customHeight="1" x14ac:dyDescent="0.25">
      <c r="A371" s="2">
        <f t="shared" si="25"/>
        <v>2021</v>
      </c>
      <c r="B371" s="2">
        <f t="shared" si="26"/>
        <v>10</v>
      </c>
      <c r="C371" s="2" t="str">
        <f t="shared" si="27"/>
        <v>월</v>
      </c>
      <c r="D371" s="3">
        <v>44480</v>
      </c>
      <c r="E371" s="7">
        <v>225</v>
      </c>
      <c r="F371" s="2" t="s">
        <v>4</v>
      </c>
      <c r="G371" s="1">
        <v>40</v>
      </c>
      <c r="H371" s="6">
        <f t="shared" si="29"/>
        <v>185</v>
      </c>
      <c r="I371" s="1">
        <f>+COUNTIF(F$3:$F371,F371)</f>
        <v>12</v>
      </c>
      <c r="K371" s="132" t="str">
        <f t="shared" si="28"/>
        <v>평일</v>
      </c>
    </row>
    <row r="372" spans="1:11" ht="21.75" customHeight="1" x14ac:dyDescent="0.25">
      <c r="A372" s="2">
        <f t="shared" si="25"/>
        <v>2021</v>
      </c>
      <c r="B372" s="2">
        <f t="shared" si="26"/>
        <v>10</v>
      </c>
      <c r="C372" s="2" t="str">
        <f t="shared" si="27"/>
        <v>화</v>
      </c>
      <c r="D372" s="3">
        <v>44481</v>
      </c>
      <c r="E372" s="7">
        <v>38</v>
      </c>
      <c r="F372" s="2" t="s">
        <v>4</v>
      </c>
      <c r="G372" s="1">
        <v>4</v>
      </c>
      <c r="H372" s="6">
        <f t="shared" si="29"/>
        <v>34</v>
      </c>
      <c r="I372" s="1">
        <f>+COUNTIF(F$3:$F372,F372)</f>
        <v>13</v>
      </c>
      <c r="K372" s="132" t="str">
        <f t="shared" si="28"/>
        <v>평일</v>
      </c>
    </row>
    <row r="373" spans="1:11" ht="21.75" customHeight="1" x14ac:dyDescent="0.25">
      <c r="A373" s="2">
        <f t="shared" si="25"/>
        <v>2021</v>
      </c>
      <c r="B373" s="2">
        <f t="shared" si="26"/>
        <v>10</v>
      </c>
      <c r="C373" s="2" t="str">
        <f t="shared" si="27"/>
        <v>수</v>
      </c>
      <c r="D373" s="3">
        <v>44482</v>
      </c>
      <c r="E373" s="7">
        <v>72</v>
      </c>
      <c r="F373" s="2" t="s">
        <v>4</v>
      </c>
      <c r="G373" s="1">
        <v>20</v>
      </c>
      <c r="H373" s="6">
        <f t="shared" si="29"/>
        <v>52</v>
      </c>
      <c r="I373" s="1">
        <f>+COUNTIF(F$3:$F373,F373)</f>
        <v>14</v>
      </c>
      <c r="K373" s="132" t="str">
        <f t="shared" si="28"/>
        <v>평일</v>
      </c>
    </row>
    <row r="374" spans="1:11" ht="21.75" customHeight="1" x14ac:dyDescent="0.25">
      <c r="A374" s="2">
        <f t="shared" si="25"/>
        <v>2021</v>
      </c>
      <c r="B374" s="2">
        <f t="shared" si="26"/>
        <v>10</v>
      </c>
      <c r="C374" s="2" t="str">
        <f t="shared" si="27"/>
        <v>목</v>
      </c>
      <c r="D374" s="3">
        <v>44483</v>
      </c>
      <c r="E374" s="7">
        <v>44</v>
      </c>
      <c r="F374" s="2" t="s">
        <v>4</v>
      </c>
      <c r="G374" s="1">
        <v>6</v>
      </c>
      <c r="H374" s="6">
        <f t="shared" si="29"/>
        <v>38</v>
      </c>
      <c r="I374" s="1">
        <f>+COUNTIF(F$3:$F374,F374)</f>
        <v>15</v>
      </c>
      <c r="K374" s="132" t="str">
        <f t="shared" si="28"/>
        <v>평일</v>
      </c>
    </row>
    <row r="375" spans="1:11" ht="21.75" customHeight="1" x14ac:dyDescent="0.25">
      <c r="A375" s="2">
        <f t="shared" si="25"/>
        <v>2021</v>
      </c>
      <c r="B375" s="2">
        <f t="shared" si="26"/>
        <v>10</v>
      </c>
      <c r="C375" s="2" t="str">
        <f t="shared" si="27"/>
        <v>금</v>
      </c>
      <c r="D375" s="3">
        <v>44484</v>
      </c>
      <c r="E375" s="7">
        <v>82</v>
      </c>
      <c r="F375" s="2" t="s">
        <v>4</v>
      </c>
      <c r="G375" s="1">
        <v>17</v>
      </c>
      <c r="H375" s="6">
        <f t="shared" si="29"/>
        <v>65</v>
      </c>
      <c r="I375" s="1">
        <f>+COUNTIF(F$3:$F375,F375)</f>
        <v>16</v>
      </c>
      <c r="K375" s="132" t="str">
        <f t="shared" si="28"/>
        <v>평일</v>
      </c>
    </row>
    <row r="376" spans="1:11" ht="21.75" customHeight="1" x14ac:dyDescent="0.25">
      <c r="A376" s="2">
        <f t="shared" si="25"/>
        <v>2021</v>
      </c>
      <c r="B376" s="2">
        <f t="shared" si="26"/>
        <v>10</v>
      </c>
      <c r="C376" s="2" t="str">
        <f t="shared" si="27"/>
        <v>토</v>
      </c>
      <c r="D376" s="3">
        <v>44485</v>
      </c>
      <c r="E376" s="7">
        <v>331</v>
      </c>
      <c r="F376" s="2" t="s">
        <v>4</v>
      </c>
      <c r="G376" s="1">
        <v>55</v>
      </c>
      <c r="H376" s="6">
        <f t="shared" si="29"/>
        <v>276</v>
      </c>
      <c r="I376" s="1">
        <f>+COUNTIF(F$3:$F376,F376)</f>
        <v>17</v>
      </c>
      <c r="K376" s="132" t="str">
        <f t="shared" si="28"/>
        <v>주말</v>
      </c>
    </row>
    <row r="377" spans="1:11" ht="21.75" customHeight="1" x14ac:dyDescent="0.25">
      <c r="A377" s="2">
        <f t="shared" si="25"/>
        <v>2021</v>
      </c>
      <c r="B377" s="2">
        <f t="shared" si="26"/>
        <v>10</v>
      </c>
      <c r="C377" s="2" t="str">
        <f t="shared" si="27"/>
        <v>일</v>
      </c>
      <c r="D377" s="3">
        <v>44486</v>
      </c>
      <c r="E377" s="7">
        <v>265</v>
      </c>
      <c r="F377" s="2" t="s">
        <v>4</v>
      </c>
      <c r="G377" s="1">
        <v>28</v>
      </c>
      <c r="H377" s="6">
        <f t="shared" si="29"/>
        <v>237</v>
      </c>
      <c r="I377" s="1">
        <f>+COUNTIF(F$3:$F377,F377)</f>
        <v>18</v>
      </c>
      <c r="K377" s="132" t="str">
        <f t="shared" si="28"/>
        <v>주말</v>
      </c>
    </row>
    <row r="378" spans="1:11" ht="21.75" customHeight="1" x14ac:dyDescent="0.25">
      <c r="A378" s="2">
        <f t="shared" si="25"/>
        <v>2021</v>
      </c>
      <c r="B378" s="2">
        <f t="shared" si="26"/>
        <v>10</v>
      </c>
      <c r="C378" s="2" t="str">
        <f t="shared" si="27"/>
        <v>월</v>
      </c>
      <c r="D378" s="3">
        <v>44487</v>
      </c>
      <c r="E378" s="7">
        <v>0</v>
      </c>
      <c r="F378" s="2" t="s">
        <v>4</v>
      </c>
      <c r="G378" s="1">
        <v>0</v>
      </c>
      <c r="H378" s="6">
        <f t="shared" si="29"/>
        <v>0</v>
      </c>
      <c r="I378" s="1">
        <f>+COUNTIF(F$3:$F378,F378)</f>
        <v>19</v>
      </c>
      <c r="K378" s="132" t="str">
        <f t="shared" si="28"/>
        <v>평일</v>
      </c>
    </row>
    <row r="379" spans="1:11" ht="21.75" customHeight="1" x14ac:dyDescent="0.25">
      <c r="A379" s="2">
        <f t="shared" si="25"/>
        <v>2021</v>
      </c>
      <c r="B379" s="2">
        <f t="shared" si="26"/>
        <v>10</v>
      </c>
      <c r="C379" s="2" t="str">
        <f t="shared" si="27"/>
        <v>화</v>
      </c>
      <c r="D379" s="3">
        <v>44488</v>
      </c>
      <c r="E379" s="7">
        <v>60</v>
      </c>
      <c r="F379" s="2" t="s">
        <v>4</v>
      </c>
      <c r="G379" s="1">
        <v>11</v>
      </c>
      <c r="H379" s="6">
        <f t="shared" si="29"/>
        <v>49</v>
      </c>
      <c r="I379" s="1">
        <f>+COUNTIF(F$3:$F379,F379)</f>
        <v>20</v>
      </c>
      <c r="K379" s="132" t="str">
        <f t="shared" si="28"/>
        <v>평일</v>
      </c>
    </row>
    <row r="380" spans="1:11" ht="21.75" customHeight="1" x14ac:dyDescent="0.25">
      <c r="A380" s="2">
        <f t="shared" si="25"/>
        <v>2021</v>
      </c>
      <c r="B380" s="2">
        <f t="shared" si="26"/>
        <v>10</v>
      </c>
      <c r="C380" s="2" t="str">
        <f t="shared" si="27"/>
        <v>수</v>
      </c>
      <c r="D380" s="3">
        <v>44489</v>
      </c>
      <c r="E380" s="7">
        <v>65</v>
      </c>
      <c r="F380" s="2" t="s">
        <v>4</v>
      </c>
      <c r="G380" s="1">
        <v>16</v>
      </c>
      <c r="H380" s="6">
        <f t="shared" si="29"/>
        <v>49</v>
      </c>
      <c r="I380" s="1">
        <f>+COUNTIF(F$3:$F380,F380)</f>
        <v>21</v>
      </c>
      <c r="K380" s="132" t="str">
        <f t="shared" si="28"/>
        <v>평일</v>
      </c>
    </row>
    <row r="381" spans="1:11" ht="21.75" customHeight="1" x14ac:dyDescent="0.25">
      <c r="A381" s="2">
        <f t="shared" si="25"/>
        <v>2021</v>
      </c>
      <c r="B381" s="2">
        <f t="shared" si="26"/>
        <v>10</v>
      </c>
      <c r="C381" s="2" t="str">
        <f t="shared" si="27"/>
        <v>목</v>
      </c>
      <c r="D381" s="3">
        <v>44490</v>
      </c>
      <c r="E381" s="7">
        <v>64</v>
      </c>
      <c r="F381" s="2" t="s">
        <v>4</v>
      </c>
      <c r="G381" s="1">
        <v>26</v>
      </c>
      <c r="H381" s="6">
        <f t="shared" si="29"/>
        <v>38</v>
      </c>
      <c r="I381" s="1">
        <f>+COUNTIF(F$3:$F381,F381)</f>
        <v>22</v>
      </c>
      <c r="K381" s="132" t="str">
        <f t="shared" si="28"/>
        <v>평일</v>
      </c>
    </row>
    <row r="382" spans="1:11" ht="21.75" customHeight="1" x14ac:dyDescent="0.25">
      <c r="A382" s="2">
        <f t="shared" si="25"/>
        <v>2021</v>
      </c>
      <c r="B382" s="2">
        <f t="shared" si="26"/>
        <v>10</v>
      </c>
      <c r="C382" s="2" t="str">
        <f t="shared" si="27"/>
        <v>금</v>
      </c>
      <c r="D382" s="3">
        <v>44491</v>
      </c>
      <c r="E382" s="7">
        <v>110</v>
      </c>
      <c r="F382" s="2" t="s">
        <v>4</v>
      </c>
      <c r="G382" s="1">
        <v>23</v>
      </c>
      <c r="H382" s="6">
        <f t="shared" si="29"/>
        <v>87</v>
      </c>
      <c r="I382" s="1">
        <f>+COUNTIF(F$3:$F382,F382)</f>
        <v>23</v>
      </c>
      <c r="K382" s="132" t="str">
        <f t="shared" si="28"/>
        <v>평일</v>
      </c>
    </row>
    <row r="383" spans="1:11" ht="21.75" customHeight="1" x14ac:dyDescent="0.25">
      <c r="A383" s="2">
        <f t="shared" si="25"/>
        <v>2021</v>
      </c>
      <c r="B383" s="2">
        <f t="shared" si="26"/>
        <v>10</v>
      </c>
      <c r="C383" s="2" t="str">
        <f t="shared" si="27"/>
        <v>토</v>
      </c>
      <c r="D383" s="3">
        <v>44492</v>
      </c>
      <c r="E383" s="7">
        <v>320</v>
      </c>
      <c r="F383" s="2" t="s">
        <v>4</v>
      </c>
      <c r="G383" s="1">
        <v>55</v>
      </c>
      <c r="H383" s="6">
        <f t="shared" si="29"/>
        <v>265</v>
      </c>
      <c r="I383" s="1">
        <f>+COUNTIF(F$3:$F383,F383)</f>
        <v>24</v>
      </c>
      <c r="K383" s="132" t="str">
        <f t="shared" si="28"/>
        <v>주말</v>
      </c>
    </row>
    <row r="384" spans="1:11" ht="21.75" customHeight="1" x14ac:dyDescent="0.25">
      <c r="A384" s="2">
        <f t="shared" si="25"/>
        <v>2021</v>
      </c>
      <c r="B384" s="2">
        <f t="shared" si="26"/>
        <v>10</v>
      </c>
      <c r="C384" s="2" t="str">
        <f t="shared" si="27"/>
        <v>일</v>
      </c>
      <c r="D384" s="3">
        <v>44493</v>
      </c>
      <c r="E384" s="7">
        <v>280</v>
      </c>
      <c r="F384" s="2" t="s">
        <v>4</v>
      </c>
      <c r="G384" s="1">
        <v>49</v>
      </c>
      <c r="H384" s="6">
        <f t="shared" si="29"/>
        <v>231</v>
      </c>
      <c r="I384" s="1">
        <f>+COUNTIF(F$3:$F384,F384)</f>
        <v>25</v>
      </c>
      <c r="K384" s="132" t="str">
        <f t="shared" si="28"/>
        <v>주말</v>
      </c>
    </row>
    <row r="385" spans="1:11" ht="21.75" customHeight="1" x14ac:dyDescent="0.25">
      <c r="A385" s="2">
        <f t="shared" si="25"/>
        <v>2021</v>
      </c>
      <c r="B385" s="2">
        <f t="shared" si="26"/>
        <v>10</v>
      </c>
      <c r="C385" s="2" t="str">
        <f t="shared" si="27"/>
        <v>월</v>
      </c>
      <c r="D385" s="3">
        <v>44494</v>
      </c>
      <c r="E385" s="7">
        <v>78</v>
      </c>
      <c r="F385" s="2" t="s">
        <v>4</v>
      </c>
      <c r="G385" s="1">
        <v>14</v>
      </c>
      <c r="H385" s="6">
        <f t="shared" si="29"/>
        <v>64</v>
      </c>
      <c r="I385" s="1">
        <f>+COUNTIF(F$3:$F385,F385)</f>
        <v>26</v>
      </c>
      <c r="K385" s="132" t="str">
        <f t="shared" si="28"/>
        <v>평일</v>
      </c>
    </row>
    <row r="386" spans="1:11" ht="21.75" customHeight="1" x14ac:dyDescent="0.25">
      <c r="A386" s="2">
        <f t="shared" si="25"/>
        <v>2021</v>
      </c>
      <c r="B386" s="2">
        <f t="shared" si="26"/>
        <v>10</v>
      </c>
      <c r="C386" s="2" t="str">
        <f t="shared" si="27"/>
        <v>화</v>
      </c>
      <c r="D386" s="3">
        <v>44495</v>
      </c>
      <c r="E386" s="7">
        <v>54</v>
      </c>
      <c r="F386" s="2" t="s">
        <v>4</v>
      </c>
      <c r="G386" s="1">
        <v>18</v>
      </c>
      <c r="H386" s="6">
        <f t="shared" si="29"/>
        <v>36</v>
      </c>
      <c r="I386" s="1">
        <f>+COUNTIF(F$3:$F386,F386)</f>
        <v>27</v>
      </c>
      <c r="K386" s="132" t="str">
        <f t="shared" si="28"/>
        <v>평일</v>
      </c>
    </row>
    <row r="387" spans="1:11" ht="21.75" customHeight="1" x14ac:dyDescent="0.25">
      <c r="A387" s="2">
        <f t="shared" si="25"/>
        <v>2021</v>
      </c>
      <c r="B387" s="2">
        <f t="shared" si="26"/>
        <v>10</v>
      </c>
      <c r="C387" s="2" t="str">
        <f t="shared" si="27"/>
        <v>수</v>
      </c>
      <c r="D387" s="3">
        <v>44496</v>
      </c>
      <c r="E387" s="7">
        <v>176</v>
      </c>
      <c r="F387" s="2" t="s">
        <v>4</v>
      </c>
      <c r="G387" s="1">
        <v>14</v>
      </c>
      <c r="H387" s="6">
        <f t="shared" si="29"/>
        <v>162</v>
      </c>
      <c r="I387" s="1">
        <f>+COUNTIF(F$3:$F387,F387)</f>
        <v>28</v>
      </c>
      <c r="K387" s="132" t="str">
        <f t="shared" si="28"/>
        <v>평일</v>
      </c>
    </row>
    <row r="388" spans="1:11" ht="21.75" customHeight="1" x14ac:dyDescent="0.25">
      <c r="A388" s="2">
        <f t="shared" ref="A388:A451" si="30">+YEAR(D388)</f>
        <v>2021</v>
      </c>
      <c r="B388" s="2">
        <f t="shared" ref="B388:B451" si="31">+MONTH(D388)</f>
        <v>10</v>
      </c>
      <c r="C388" s="2" t="str">
        <f t="shared" ref="C388:C451" si="32">+TEXT(D388,"aaa")</f>
        <v>목</v>
      </c>
      <c r="D388" s="3">
        <v>44497</v>
      </c>
      <c r="E388" s="7">
        <v>55</v>
      </c>
      <c r="F388" s="2" t="s">
        <v>4</v>
      </c>
      <c r="G388" s="1">
        <v>9</v>
      </c>
      <c r="H388" s="6">
        <f t="shared" si="29"/>
        <v>46</v>
      </c>
      <c r="I388" s="1">
        <f>+COUNTIF(F$3:$F388,F388)</f>
        <v>29</v>
      </c>
      <c r="K388" s="132" t="str">
        <f t="shared" ref="K388:K451" si="33">+IF(OR(C388="토",C388="일"),"주말","평일")</f>
        <v>평일</v>
      </c>
    </row>
    <row r="389" spans="1:11" ht="21.75" customHeight="1" x14ac:dyDescent="0.25">
      <c r="A389" s="2">
        <f t="shared" si="30"/>
        <v>2021</v>
      </c>
      <c r="B389" s="2">
        <f t="shared" si="31"/>
        <v>10</v>
      </c>
      <c r="C389" s="2" t="str">
        <f t="shared" si="32"/>
        <v>금</v>
      </c>
      <c r="D389" s="3">
        <v>44498</v>
      </c>
      <c r="E389" s="7">
        <v>134</v>
      </c>
      <c r="F389" s="2" t="s">
        <v>4</v>
      </c>
      <c r="G389" s="1">
        <v>37</v>
      </c>
      <c r="H389" s="6">
        <f t="shared" si="29"/>
        <v>97</v>
      </c>
      <c r="I389" s="1">
        <f>+COUNTIF(F$3:$F389,F389)</f>
        <v>30</v>
      </c>
      <c r="K389" s="132" t="str">
        <f t="shared" si="33"/>
        <v>평일</v>
      </c>
    </row>
    <row r="390" spans="1:11" ht="21.75" customHeight="1" x14ac:dyDescent="0.25">
      <c r="A390" s="2">
        <f t="shared" si="30"/>
        <v>2021</v>
      </c>
      <c r="B390" s="2">
        <f t="shared" si="31"/>
        <v>10</v>
      </c>
      <c r="C390" s="2" t="str">
        <f t="shared" si="32"/>
        <v>토</v>
      </c>
      <c r="D390" s="3">
        <v>44499</v>
      </c>
      <c r="E390" s="7">
        <v>349</v>
      </c>
      <c r="F390" s="2" t="s">
        <v>4</v>
      </c>
      <c r="G390" s="1">
        <v>57</v>
      </c>
      <c r="H390" s="6">
        <f t="shared" si="29"/>
        <v>292</v>
      </c>
      <c r="I390" s="1">
        <f>+COUNTIF(F$3:$F390,F390)</f>
        <v>31</v>
      </c>
      <c r="K390" s="132" t="str">
        <f t="shared" si="33"/>
        <v>주말</v>
      </c>
    </row>
    <row r="391" spans="1:11" ht="21.75" customHeight="1" x14ac:dyDescent="0.25">
      <c r="A391" s="2">
        <f t="shared" si="30"/>
        <v>2021</v>
      </c>
      <c r="B391" s="2">
        <f t="shared" si="31"/>
        <v>10</v>
      </c>
      <c r="C391" s="2" t="str">
        <f t="shared" si="32"/>
        <v>일</v>
      </c>
      <c r="D391" s="3">
        <v>44500</v>
      </c>
      <c r="E391" s="7">
        <v>407</v>
      </c>
      <c r="F391" s="2" t="s">
        <v>4</v>
      </c>
      <c r="G391" s="1">
        <v>63</v>
      </c>
      <c r="H391" s="6">
        <f t="shared" si="29"/>
        <v>344</v>
      </c>
      <c r="I391" s="1">
        <f>+COUNTIF(F$3:$F391,F391)</f>
        <v>32</v>
      </c>
      <c r="K391" s="132" t="str">
        <f t="shared" si="33"/>
        <v>주말</v>
      </c>
    </row>
    <row r="392" spans="1:11" ht="21.75" customHeight="1" x14ac:dyDescent="0.25">
      <c r="A392" s="2">
        <f t="shared" si="30"/>
        <v>2021</v>
      </c>
      <c r="B392" s="2">
        <f t="shared" si="31"/>
        <v>11</v>
      </c>
      <c r="C392" s="2" t="str">
        <f t="shared" si="32"/>
        <v>월</v>
      </c>
      <c r="D392" s="3">
        <v>44501</v>
      </c>
      <c r="E392" s="7">
        <v>60</v>
      </c>
      <c r="F392" s="2" t="s">
        <v>4</v>
      </c>
      <c r="G392" s="1">
        <v>9</v>
      </c>
      <c r="H392" s="6">
        <f t="shared" si="29"/>
        <v>51</v>
      </c>
      <c r="I392" s="1">
        <f>+COUNTIF(F$3:$F392,F392)</f>
        <v>33</v>
      </c>
      <c r="K392" s="132" t="str">
        <f t="shared" si="33"/>
        <v>평일</v>
      </c>
    </row>
    <row r="393" spans="1:11" ht="21.75" customHeight="1" x14ac:dyDescent="0.25">
      <c r="A393" s="2">
        <f t="shared" si="30"/>
        <v>2021</v>
      </c>
      <c r="B393" s="2">
        <f t="shared" si="31"/>
        <v>11</v>
      </c>
      <c r="C393" s="2" t="str">
        <f t="shared" si="32"/>
        <v>화</v>
      </c>
      <c r="D393" s="3">
        <v>44502</v>
      </c>
      <c r="E393" s="7">
        <v>61</v>
      </c>
      <c r="F393" s="2" t="s">
        <v>4</v>
      </c>
      <c r="G393" s="1">
        <v>10</v>
      </c>
      <c r="H393" s="6">
        <f t="shared" si="29"/>
        <v>51</v>
      </c>
      <c r="I393" s="1">
        <f>+COUNTIF(F$3:$F393,F393)</f>
        <v>34</v>
      </c>
      <c r="K393" s="132" t="str">
        <f t="shared" si="33"/>
        <v>평일</v>
      </c>
    </row>
    <row r="394" spans="1:11" ht="21.75" customHeight="1" x14ac:dyDescent="0.25">
      <c r="A394" s="2">
        <f t="shared" si="30"/>
        <v>2021</v>
      </c>
      <c r="B394" s="2">
        <f t="shared" si="31"/>
        <v>11</v>
      </c>
      <c r="C394" s="2" t="str">
        <f t="shared" si="32"/>
        <v>수</v>
      </c>
      <c r="D394" s="3">
        <v>44503</v>
      </c>
      <c r="E394" s="7">
        <v>96</v>
      </c>
      <c r="F394" s="2" t="s">
        <v>4</v>
      </c>
      <c r="G394" s="1">
        <v>26</v>
      </c>
      <c r="H394" s="6">
        <f t="shared" si="29"/>
        <v>70</v>
      </c>
      <c r="I394" s="1">
        <f>+COUNTIF(F$3:$F394,F394)</f>
        <v>35</v>
      </c>
      <c r="K394" s="132" t="str">
        <f t="shared" si="33"/>
        <v>평일</v>
      </c>
    </row>
    <row r="395" spans="1:11" ht="21.75" customHeight="1" x14ac:dyDescent="0.25">
      <c r="A395" s="2">
        <f t="shared" si="30"/>
        <v>2021</v>
      </c>
      <c r="B395" s="2">
        <f t="shared" si="31"/>
        <v>11</v>
      </c>
      <c r="C395" s="2" t="str">
        <f t="shared" si="32"/>
        <v>목</v>
      </c>
      <c r="D395" s="3">
        <v>44504</v>
      </c>
      <c r="E395" s="7">
        <v>85</v>
      </c>
      <c r="F395" s="2" t="s">
        <v>4</v>
      </c>
      <c r="G395" s="1">
        <v>9</v>
      </c>
      <c r="H395" s="6">
        <f t="shared" si="29"/>
        <v>76</v>
      </c>
      <c r="I395" s="1">
        <f>+COUNTIF(F$3:$F395,F395)</f>
        <v>36</v>
      </c>
      <c r="K395" s="132" t="str">
        <f t="shared" si="33"/>
        <v>평일</v>
      </c>
    </row>
    <row r="396" spans="1:11" ht="21.75" customHeight="1" x14ac:dyDescent="0.25">
      <c r="A396" s="2">
        <f t="shared" si="30"/>
        <v>2021</v>
      </c>
      <c r="B396" s="2">
        <f t="shared" si="31"/>
        <v>11</v>
      </c>
      <c r="C396" s="2" t="str">
        <f t="shared" si="32"/>
        <v>금</v>
      </c>
      <c r="D396" s="3">
        <v>44505</v>
      </c>
      <c r="E396" s="7">
        <v>155</v>
      </c>
      <c r="F396" s="2" t="s">
        <v>4</v>
      </c>
      <c r="G396" s="1">
        <v>30</v>
      </c>
      <c r="H396" s="6">
        <f t="shared" si="29"/>
        <v>125</v>
      </c>
      <c r="I396" s="1">
        <f>+COUNTIF(F$3:$F396,F396)</f>
        <v>37</v>
      </c>
      <c r="K396" s="132" t="str">
        <f t="shared" si="33"/>
        <v>평일</v>
      </c>
    </row>
    <row r="397" spans="1:11" ht="21.75" customHeight="1" x14ac:dyDescent="0.25">
      <c r="A397" s="2">
        <f t="shared" si="30"/>
        <v>2021</v>
      </c>
      <c r="B397" s="2">
        <f t="shared" si="31"/>
        <v>11</v>
      </c>
      <c r="C397" s="2" t="str">
        <f t="shared" si="32"/>
        <v>토</v>
      </c>
      <c r="D397" s="3">
        <v>44506</v>
      </c>
      <c r="E397" s="7">
        <v>372</v>
      </c>
      <c r="F397" s="2" t="s">
        <v>4</v>
      </c>
      <c r="G397" s="1">
        <v>58</v>
      </c>
      <c r="H397" s="6">
        <f t="shared" si="29"/>
        <v>314</v>
      </c>
      <c r="I397" s="1">
        <f>+COUNTIF(F$3:$F397,F397)</f>
        <v>38</v>
      </c>
      <c r="K397" s="132" t="str">
        <f t="shared" si="33"/>
        <v>주말</v>
      </c>
    </row>
    <row r="398" spans="1:11" ht="21.75" customHeight="1" x14ac:dyDescent="0.25">
      <c r="A398" s="2">
        <f t="shared" si="30"/>
        <v>2021</v>
      </c>
      <c r="B398" s="2">
        <f t="shared" si="31"/>
        <v>11</v>
      </c>
      <c r="C398" s="2" t="str">
        <f t="shared" si="32"/>
        <v>일</v>
      </c>
      <c r="D398" s="3">
        <v>44507</v>
      </c>
      <c r="E398" s="7">
        <v>355</v>
      </c>
      <c r="F398" s="2" t="s">
        <v>4</v>
      </c>
      <c r="G398" s="1">
        <v>56</v>
      </c>
      <c r="H398" s="6">
        <f t="shared" si="29"/>
        <v>299</v>
      </c>
      <c r="I398" s="1">
        <f>+COUNTIF(F$3:$F398,F398)</f>
        <v>39</v>
      </c>
      <c r="K398" s="132" t="str">
        <f t="shared" si="33"/>
        <v>주말</v>
      </c>
    </row>
    <row r="399" spans="1:11" ht="21.75" customHeight="1" x14ac:dyDescent="0.25">
      <c r="A399" s="2">
        <f t="shared" si="30"/>
        <v>2021</v>
      </c>
      <c r="B399" s="2">
        <f t="shared" si="31"/>
        <v>11</v>
      </c>
      <c r="C399" s="2" t="str">
        <f t="shared" si="32"/>
        <v>월</v>
      </c>
      <c r="D399" s="3">
        <v>44508</v>
      </c>
      <c r="E399" s="7">
        <v>0</v>
      </c>
      <c r="F399" s="2" t="s">
        <v>4</v>
      </c>
      <c r="G399" s="1">
        <v>0</v>
      </c>
      <c r="H399" s="6">
        <f t="shared" si="29"/>
        <v>0</v>
      </c>
      <c r="I399" s="1">
        <f>+COUNTIF(F$3:$F399,F399)</f>
        <v>40</v>
      </c>
      <c r="K399" s="132" t="str">
        <f t="shared" si="33"/>
        <v>평일</v>
      </c>
    </row>
    <row r="400" spans="1:11" ht="21.75" customHeight="1" x14ac:dyDescent="0.25">
      <c r="A400" s="2">
        <f t="shared" si="30"/>
        <v>2021</v>
      </c>
      <c r="B400" s="2">
        <f t="shared" si="31"/>
        <v>11</v>
      </c>
      <c r="C400" s="2" t="str">
        <f t="shared" si="32"/>
        <v>화</v>
      </c>
      <c r="D400" s="3">
        <v>44509</v>
      </c>
      <c r="E400" s="7">
        <v>106</v>
      </c>
      <c r="F400" s="2" t="s">
        <v>4</v>
      </c>
      <c r="G400" s="1">
        <v>10</v>
      </c>
      <c r="H400" s="6">
        <f t="shared" si="29"/>
        <v>96</v>
      </c>
      <c r="I400" s="1">
        <f>+COUNTIF(F$3:$F400,F400)</f>
        <v>41</v>
      </c>
      <c r="K400" s="132" t="str">
        <f t="shared" si="33"/>
        <v>평일</v>
      </c>
    </row>
    <row r="401" spans="1:11" ht="21.75" customHeight="1" x14ac:dyDescent="0.25">
      <c r="A401" s="2">
        <f t="shared" si="30"/>
        <v>2021</v>
      </c>
      <c r="B401" s="2">
        <f t="shared" si="31"/>
        <v>11</v>
      </c>
      <c r="C401" s="2" t="str">
        <f t="shared" si="32"/>
        <v>수</v>
      </c>
      <c r="D401" s="3">
        <v>44510</v>
      </c>
      <c r="E401" s="7">
        <v>157</v>
      </c>
      <c r="F401" s="2" t="s">
        <v>4</v>
      </c>
      <c r="G401" s="1">
        <v>13</v>
      </c>
      <c r="H401" s="6">
        <f t="shared" si="29"/>
        <v>144</v>
      </c>
      <c r="I401" s="1">
        <f>+COUNTIF(F$3:$F401,F401)</f>
        <v>42</v>
      </c>
      <c r="K401" s="132" t="str">
        <f t="shared" si="33"/>
        <v>평일</v>
      </c>
    </row>
    <row r="402" spans="1:11" ht="21.75" customHeight="1" x14ac:dyDescent="0.25">
      <c r="A402" s="2">
        <f t="shared" si="30"/>
        <v>2021</v>
      </c>
      <c r="B402" s="2">
        <f t="shared" si="31"/>
        <v>11</v>
      </c>
      <c r="C402" s="2" t="str">
        <f t="shared" si="32"/>
        <v>목</v>
      </c>
      <c r="D402" s="3">
        <v>44511</v>
      </c>
      <c r="E402" s="7">
        <v>133</v>
      </c>
      <c r="F402" s="2" t="s">
        <v>4</v>
      </c>
      <c r="G402" s="1">
        <v>20</v>
      </c>
      <c r="H402" s="6">
        <f t="shared" si="29"/>
        <v>113</v>
      </c>
      <c r="I402" s="1">
        <f>+COUNTIF(F$3:$F402,F402)</f>
        <v>43</v>
      </c>
      <c r="K402" s="132" t="str">
        <f t="shared" si="33"/>
        <v>평일</v>
      </c>
    </row>
    <row r="403" spans="1:11" ht="21.75" customHeight="1" x14ac:dyDescent="0.25">
      <c r="A403" s="2">
        <f t="shared" si="30"/>
        <v>2021</v>
      </c>
      <c r="B403" s="2">
        <f t="shared" si="31"/>
        <v>11</v>
      </c>
      <c r="C403" s="2" t="str">
        <f t="shared" si="32"/>
        <v>금</v>
      </c>
      <c r="D403" s="3">
        <v>44512</v>
      </c>
      <c r="E403" s="7">
        <v>177</v>
      </c>
      <c r="F403" s="2" t="s">
        <v>4</v>
      </c>
      <c r="G403" s="1">
        <v>20</v>
      </c>
      <c r="H403" s="6">
        <f t="shared" si="29"/>
        <v>157</v>
      </c>
      <c r="I403" s="1">
        <f>+COUNTIF(F$3:$F403,F403)</f>
        <v>44</v>
      </c>
      <c r="K403" s="132" t="str">
        <f t="shared" si="33"/>
        <v>평일</v>
      </c>
    </row>
    <row r="404" spans="1:11" ht="21.75" customHeight="1" x14ac:dyDescent="0.25">
      <c r="A404" s="2">
        <f t="shared" si="30"/>
        <v>2021</v>
      </c>
      <c r="B404" s="2">
        <f t="shared" si="31"/>
        <v>11</v>
      </c>
      <c r="C404" s="2" t="str">
        <f t="shared" si="32"/>
        <v>토</v>
      </c>
      <c r="D404" s="3">
        <v>44513</v>
      </c>
      <c r="E404" s="7">
        <v>465</v>
      </c>
      <c r="F404" s="2" t="s">
        <v>4</v>
      </c>
      <c r="G404" s="1">
        <v>51</v>
      </c>
      <c r="H404" s="6">
        <f t="shared" si="29"/>
        <v>414</v>
      </c>
      <c r="I404" s="1">
        <f>+COUNTIF(F$3:$F404,F404)</f>
        <v>45</v>
      </c>
      <c r="K404" s="132" t="str">
        <f t="shared" si="33"/>
        <v>주말</v>
      </c>
    </row>
    <row r="405" spans="1:11" ht="21.75" customHeight="1" x14ac:dyDescent="0.25">
      <c r="A405" s="2">
        <f t="shared" si="30"/>
        <v>2021</v>
      </c>
      <c r="B405" s="2">
        <f t="shared" si="31"/>
        <v>11</v>
      </c>
      <c r="C405" s="2" t="str">
        <f t="shared" si="32"/>
        <v>일</v>
      </c>
      <c r="D405" s="3">
        <v>44514</v>
      </c>
      <c r="E405" s="7">
        <v>361</v>
      </c>
      <c r="F405" s="2" t="s">
        <v>4</v>
      </c>
      <c r="G405" s="1">
        <v>61</v>
      </c>
      <c r="H405" s="6">
        <f t="shared" si="29"/>
        <v>300</v>
      </c>
      <c r="I405" s="1">
        <f>+COUNTIF(F$3:$F405,F405)</f>
        <v>46</v>
      </c>
      <c r="K405" s="132" t="str">
        <f t="shared" si="33"/>
        <v>주말</v>
      </c>
    </row>
    <row r="406" spans="1:11" ht="21.75" customHeight="1" x14ac:dyDescent="0.25">
      <c r="A406" s="2">
        <f t="shared" si="30"/>
        <v>2021</v>
      </c>
      <c r="B406" s="2">
        <f t="shared" si="31"/>
        <v>11</v>
      </c>
      <c r="C406" s="2" t="str">
        <f t="shared" si="32"/>
        <v>월</v>
      </c>
      <c r="D406" s="3">
        <v>44515</v>
      </c>
      <c r="E406" s="7">
        <v>123</v>
      </c>
      <c r="F406" s="2" t="s">
        <v>4</v>
      </c>
      <c r="G406" s="1">
        <v>18</v>
      </c>
      <c r="H406" s="6">
        <f t="shared" si="29"/>
        <v>105</v>
      </c>
      <c r="I406" s="1">
        <f>+COUNTIF(F$3:$F406,F406)</f>
        <v>47</v>
      </c>
      <c r="K406" s="132" t="str">
        <f t="shared" si="33"/>
        <v>평일</v>
      </c>
    </row>
    <row r="407" spans="1:11" ht="21.75" customHeight="1" x14ac:dyDescent="0.25">
      <c r="A407" s="2">
        <f t="shared" si="30"/>
        <v>2021</v>
      </c>
      <c r="B407" s="2">
        <f t="shared" si="31"/>
        <v>11</v>
      </c>
      <c r="C407" s="2" t="str">
        <f t="shared" si="32"/>
        <v>화</v>
      </c>
      <c r="D407" s="3">
        <v>44516</v>
      </c>
      <c r="E407" s="7">
        <v>121</v>
      </c>
      <c r="F407" s="2" t="s">
        <v>4</v>
      </c>
      <c r="G407" s="1">
        <v>27</v>
      </c>
      <c r="H407" s="6">
        <f t="shared" si="29"/>
        <v>94</v>
      </c>
      <c r="I407" s="1">
        <f>+COUNTIF(F$3:$F407,F407)</f>
        <v>48</v>
      </c>
      <c r="K407" s="132" t="str">
        <f t="shared" si="33"/>
        <v>평일</v>
      </c>
    </row>
    <row r="408" spans="1:11" ht="21.75" customHeight="1" x14ac:dyDescent="0.25">
      <c r="A408" s="2">
        <f t="shared" si="30"/>
        <v>2021</v>
      </c>
      <c r="B408" s="2">
        <f t="shared" si="31"/>
        <v>11</v>
      </c>
      <c r="C408" s="2" t="str">
        <f t="shared" si="32"/>
        <v>수</v>
      </c>
      <c r="D408" s="3">
        <v>44517</v>
      </c>
      <c r="E408" s="7">
        <v>118</v>
      </c>
      <c r="F408" s="2" t="s">
        <v>4</v>
      </c>
      <c r="G408" s="1">
        <v>11</v>
      </c>
      <c r="H408" s="6">
        <f t="shared" si="29"/>
        <v>107</v>
      </c>
      <c r="I408" s="1">
        <f>+COUNTIF(F$3:$F408,F408)</f>
        <v>49</v>
      </c>
      <c r="K408" s="132" t="str">
        <f t="shared" si="33"/>
        <v>평일</v>
      </c>
    </row>
    <row r="409" spans="1:11" ht="21.75" customHeight="1" x14ac:dyDescent="0.25">
      <c r="A409" s="2">
        <f t="shared" si="30"/>
        <v>2021</v>
      </c>
      <c r="B409" s="2">
        <f t="shared" si="31"/>
        <v>11</v>
      </c>
      <c r="C409" s="2" t="str">
        <f t="shared" si="32"/>
        <v>목</v>
      </c>
      <c r="D409" s="3">
        <v>44518</v>
      </c>
      <c r="E409" s="7">
        <v>127</v>
      </c>
      <c r="F409" s="2" t="s">
        <v>4</v>
      </c>
      <c r="G409" s="1">
        <v>9</v>
      </c>
      <c r="H409" s="6">
        <f t="shared" si="29"/>
        <v>118</v>
      </c>
      <c r="I409" s="1">
        <f>+COUNTIF(F$3:$F409,F409)</f>
        <v>50</v>
      </c>
      <c r="K409" s="132" t="str">
        <f t="shared" si="33"/>
        <v>평일</v>
      </c>
    </row>
    <row r="410" spans="1:11" ht="21.75" customHeight="1" x14ac:dyDescent="0.25">
      <c r="A410" s="2">
        <f t="shared" si="30"/>
        <v>2021</v>
      </c>
      <c r="B410" s="2">
        <f t="shared" si="31"/>
        <v>11</v>
      </c>
      <c r="C410" s="2" t="str">
        <f t="shared" si="32"/>
        <v>금</v>
      </c>
      <c r="D410" s="3">
        <v>44519</v>
      </c>
      <c r="E410" s="7">
        <v>244</v>
      </c>
      <c r="F410" s="2" t="s">
        <v>4</v>
      </c>
      <c r="G410" s="1">
        <v>37</v>
      </c>
      <c r="H410" s="6">
        <f t="shared" si="29"/>
        <v>207</v>
      </c>
      <c r="I410" s="1">
        <f>+COUNTIF(F$3:$F410,F410)</f>
        <v>51</v>
      </c>
      <c r="K410" s="132" t="str">
        <f t="shared" si="33"/>
        <v>평일</v>
      </c>
    </row>
    <row r="411" spans="1:11" ht="21.75" customHeight="1" x14ac:dyDescent="0.25">
      <c r="A411" s="2">
        <f t="shared" si="30"/>
        <v>2021</v>
      </c>
      <c r="B411" s="2">
        <f t="shared" si="31"/>
        <v>11</v>
      </c>
      <c r="C411" s="2" t="str">
        <f t="shared" si="32"/>
        <v>토</v>
      </c>
      <c r="D411" s="3">
        <v>44520</v>
      </c>
      <c r="E411" s="7">
        <v>569</v>
      </c>
      <c r="F411" s="2" t="s">
        <v>4</v>
      </c>
      <c r="G411" s="1">
        <v>61</v>
      </c>
      <c r="H411" s="6">
        <f t="shared" si="29"/>
        <v>508</v>
      </c>
      <c r="I411" s="1">
        <f>+COUNTIF(F$3:$F411,F411)</f>
        <v>52</v>
      </c>
      <c r="K411" s="132" t="str">
        <f t="shared" si="33"/>
        <v>주말</v>
      </c>
    </row>
    <row r="412" spans="1:11" ht="21.75" customHeight="1" x14ac:dyDescent="0.25">
      <c r="A412" s="2">
        <f t="shared" si="30"/>
        <v>2021</v>
      </c>
      <c r="B412" s="2">
        <f t="shared" si="31"/>
        <v>11</v>
      </c>
      <c r="C412" s="2" t="str">
        <f t="shared" si="32"/>
        <v>일</v>
      </c>
      <c r="D412" s="3">
        <v>44521</v>
      </c>
      <c r="E412" s="7">
        <v>527</v>
      </c>
      <c r="F412" s="2" t="s">
        <v>4</v>
      </c>
      <c r="G412" s="1">
        <v>60</v>
      </c>
      <c r="H412" s="6">
        <f t="shared" si="29"/>
        <v>467</v>
      </c>
      <c r="I412" s="1">
        <f>+COUNTIF(F$3:$F412,F412)</f>
        <v>53</v>
      </c>
      <c r="K412" s="132" t="str">
        <f t="shared" si="33"/>
        <v>주말</v>
      </c>
    </row>
    <row r="413" spans="1:11" ht="21.75" customHeight="1" x14ac:dyDescent="0.25">
      <c r="A413" s="2">
        <f t="shared" si="30"/>
        <v>2021</v>
      </c>
      <c r="B413" s="2">
        <f t="shared" si="31"/>
        <v>11</v>
      </c>
      <c r="C413" s="2" t="str">
        <f t="shared" si="32"/>
        <v>월</v>
      </c>
      <c r="D413" s="3">
        <v>44522</v>
      </c>
      <c r="E413" s="7">
        <v>124</v>
      </c>
      <c r="F413" s="2" t="s">
        <v>4</v>
      </c>
      <c r="G413" s="1">
        <v>23</v>
      </c>
      <c r="H413" s="6">
        <f t="shared" si="29"/>
        <v>101</v>
      </c>
      <c r="I413" s="1">
        <f>+COUNTIF(F$3:$F413,F413)</f>
        <v>54</v>
      </c>
      <c r="K413" s="132" t="str">
        <f t="shared" si="33"/>
        <v>평일</v>
      </c>
    </row>
    <row r="414" spans="1:11" ht="21.75" customHeight="1" x14ac:dyDescent="0.25">
      <c r="A414" s="2">
        <f t="shared" si="30"/>
        <v>2021</v>
      </c>
      <c r="B414" s="2">
        <f t="shared" si="31"/>
        <v>11</v>
      </c>
      <c r="C414" s="2" t="str">
        <f t="shared" si="32"/>
        <v>화</v>
      </c>
      <c r="D414" s="3">
        <v>44523</v>
      </c>
      <c r="E414" s="7">
        <v>202</v>
      </c>
      <c r="F414" s="2" t="s">
        <v>4</v>
      </c>
      <c r="G414" s="1">
        <v>19</v>
      </c>
      <c r="H414" s="6">
        <f t="shared" si="29"/>
        <v>183</v>
      </c>
      <c r="I414" s="1">
        <f>+COUNTIF(F$3:$F414,F414)</f>
        <v>55</v>
      </c>
      <c r="K414" s="132" t="str">
        <f t="shared" si="33"/>
        <v>평일</v>
      </c>
    </row>
    <row r="415" spans="1:11" ht="21.75" customHeight="1" x14ac:dyDescent="0.25">
      <c r="A415" s="2">
        <f t="shared" si="30"/>
        <v>2021</v>
      </c>
      <c r="B415" s="2">
        <f t="shared" si="31"/>
        <v>11</v>
      </c>
      <c r="C415" s="2" t="str">
        <f t="shared" si="32"/>
        <v>수</v>
      </c>
      <c r="D415" s="3">
        <v>44524</v>
      </c>
      <c r="E415" s="7">
        <v>252</v>
      </c>
      <c r="F415" s="2" t="s">
        <v>4</v>
      </c>
      <c r="G415" s="1">
        <v>25</v>
      </c>
      <c r="H415" s="6">
        <f t="shared" si="29"/>
        <v>227</v>
      </c>
      <c r="I415" s="1">
        <f>+COUNTIF(F$3:$F415,F415)</f>
        <v>56</v>
      </c>
      <c r="K415" s="132" t="str">
        <f t="shared" si="33"/>
        <v>평일</v>
      </c>
    </row>
    <row r="416" spans="1:11" ht="21.75" customHeight="1" x14ac:dyDescent="0.25">
      <c r="A416" s="2">
        <f t="shared" si="30"/>
        <v>2021</v>
      </c>
      <c r="B416" s="2">
        <f t="shared" si="31"/>
        <v>11</v>
      </c>
      <c r="C416" s="2" t="str">
        <f t="shared" si="32"/>
        <v>목</v>
      </c>
      <c r="D416" s="3">
        <v>44525</v>
      </c>
      <c r="E416" s="7">
        <v>122</v>
      </c>
      <c r="F416" s="2" t="s">
        <v>4</v>
      </c>
      <c r="G416" s="1">
        <v>16</v>
      </c>
      <c r="H416" s="6">
        <f t="shared" si="29"/>
        <v>106</v>
      </c>
      <c r="I416" s="1">
        <f>+COUNTIF(F$3:$F416,F416)</f>
        <v>57</v>
      </c>
      <c r="K416" s="132" t="str">
        <f t="shared" si="33"/>
        <v>평일</v>
      </c>
    </row>
    <row r="417" spans="1:11" ht="21.75" customHeight="1" x14ac:dyDescent="0.25">
      <c r="A417" s="2">
        <f t="shared" si="30"/>
        <v>2021</v>
      </c>
      <c r="B417" s="2">
        <f t="shared" si="31"/>
        <v>11</v>
      </c>
      <c r="C417" s="2" t="str">
        <f t="shared" si="32"/>
        <v>금</v>
      </c>
      <c r="D417" s="3">
        <v>44526</v>
      </c>
      <c r="E417" s="7">
        <v>243</v>
      </c>
      <c r="F417" s="2" t="s">
        <v>4</v>
      </c>
      <c r="G417" s="1">
        <v>17</v>
      </c>
      <c r="H417" s="6">
        <f t="shared" si="29"/>
        <v>226</v>
      </c>
      <c r="I417" s="1">
        <f>+COUNTIF(F$3:$F417,F417)</f>
        <v>58</v>
      </c>
      <c r="K417" s="132" t="str">
        <f t="shared" si="33"/>
        <v>평일</v>
      </c>
    </row>
    <row r="418" spans="1:11" ht="21.75" customHeight="1" x14ac:dyDescent="0.25">
      <c r="A418" s="2">
        <f t="shared" si="30"/>
        <v>2021</v>
      </c>
      <c r="B418" s="2">
        <f t="shared" si="31"/>
        <v>11</v>
      </c>
      <c r="C418" s="2" t="str">
        <f t="shared" si="32"/>
        <v>토</v>
      </c>
      <c r="D418" s="3">
        <v>44527</v>
      </c>
      <c r="E418" s="7">
        <v>561</v>
      </c>
      <c r="F418" s="2" t="s">
        <v>4</v>
      </c>
      <c r="G418" s="1">
        <v>71</v>
      </c>
      <c r="H418" s="6">
        <f t="shared" si="29"/>
        <v>490</v>
      </c>
      <c r="I418" s="1">
        <f>+COUNTIF(F$3:$F418,F418)</f>
        <v>59</v>
      </c>
      <c r="K418" s="132" t="str">
        <f t="shared" si="33"/>
        <v>주말</v>
      </c>
    </row>
    <row r="419" spans="1:11" ht="21.75" customHeight="1" x14ac:dyDescent="0.25">
      <c r="A419" s="2">
        <f t="shared" si="30"/>
        <v>2021</v>
      </c>
      <c r="B419" s="2">
        <f t="shared" si="31"/>
        <v>11</v>
      </c>
      <c r="C419" s="2" t="str">
        <f t="shared" si="32"/>
        <v>일</v>
      </c>
      <c r="D419" s="3">
        <v>44528</v>
      </c>
      <c r="E419" s="7">
        <v>515</v>
      </c>
      <c r="F419" s="2" t="s">
        <v>4</v>
      </c>
      <c r="G419" s="1">
        <v>75</v>
      </c>
      <c r="H419" s="6">
        <f t="shared" si="29"/>
        <v>440</v>
      </c>
      <c r="I419" s="1">
        <f>+COUNTIF(F$3:$F419,F419)</f>
        <v>60</v>
      </c>
      <c r="K419" s="132" t="str">
        <f t="shared" si="33"/>
        <v>주말</v>
      </c>
    </row>
    <row r="420" spans="1:11" ht="21.75" customHeight="1" x14ac:dyDescent="0.25">
      <c r="A420" s="2">
        <f t="shared" si="30"/>
        <v>2021</v>
      </c>
      <c r="B420" s="2">
        <f t="shared" si="31"/>
        <v>11</v>
      </c>
      <c r="C420" s="2" t="str">
        <f t="shared" si="32"/>
        <v>월</v>
      </c>
      <c r="D420" s="3">
        <v>44529</v>
      </c>
      <c r="E420" s="7">
        <v>179</v>
      </c>
      <c r="F420" s="2" t="s">
        <v>4</v>
      </c>
      <c r="G420" s="1">
        <v>15</v>
      </c>
      <c r="H420" s="6">
        <f t="shared" si="29"/>
        <v>164</v>
      </c>
      <c r="I420" s="1">
        <f>+COUNTIF(F$3:$F420,F420)</f>
        <v>61</v>
      </c>
      <c r="K420" s="132" t="str">
        <f t="shared" si="33"/>
        <v>평일</v>
      </c>
    </row>
    <row r="421" spans="1:11" ht="21.75" customHeight="1" x14ac:dyDescent="0.25">
      <c r="A421" s="2">
        <f t="shared" si="30"/>
        <v>2021</v>
      </c>
      <c r="B421" s="2">
        <f t="shared" si="31"/>
        <v>11</v>
      </c>
      <c r="C421" s="2" t="str">
        <f t="shared" si="32"/>
        <v>화</v>
      </c>
      <c r="D421" s="3">
        <v>44530</v>
      </c>
      <c r="E421" s="7">
        <v>169</v>
      </c>
      <c r="F421" s="2" t="s">
        <v>4</v>
      </c>
      <c r="G421" s="1">
        <v>17</v>
      </c>
      <c r="H421" s="6">
        <f t="shared" si="29"/>
        <v>152</v>
      </c>
      <c r="I421" s="1">
        <f>+COUNTIF(F$3:$F421,F421)</f>
        <v>62</v>
      </c>
      <c r="K421" s="132" t="str">
        <f t="shared" si="33"/>
        <v>평일</v>
      </c>
    </row>
    <row r="422" spans="1:11" ht="21.75" customHeight="1" x14ac:dyDescent="0.25">
      <c r="A422" s="2">
        <f t="shared" si="30"/>
        <v>2021</v>
      </c>
      <c r="B422" s="2">
        <f t="shared" si="31"/>
        <v>12</v>
      </c>
      <c r="C422" s="2" t="str">
        <f t="shared" si="32"/>
        <v>수</v>
      </c>
      <c r="D422" s="3">
        <v>44531</v>
      </c>
      <c r="E422" s="7">
        <v>216</v>
      </c>
      <c r="F422" s="2" t="s">
        <v>4</v>
      </c>
      <c r="G422" s="1">
        <v>22</v>
      </c>
      <c r="H422" s="6">
        <f t="shared" si="29"/>
        <v>194</v>
      </c>
      <c r="I422" s="1">
        <f>+COUNTIF(F$3:$F422,F422)</f>
        <v>63</v>
      </c>
      <c r="K422" s="132" t="str">
        <f t="shared" si="33"/>
        <v>평일</v>
      </c>
    </row>
    <row r="423" spans="1:11" ht="21.75" customHeight="1" x14ac:dyDescent="0.25">
      <c r="A423" s="2">
        <f t="shared" si="30"/>
        <v>2021</v>
      </c>
      <c r="B423" s="2">
        <f t="shared" si="31"/>
        <v>12</v>
      </c>
      <c r="C423" s="2" t="str">
        <f t="shared" si="32"/>
        <v>목</v>
      </c>
      <c r="D423" s="3">
        <v>44532</v>
      </c>
      <c r="E423" s="7">
        <v>109</v>
      </c>
      <c r="F423" s="2" t="s">
        <v>4</v>
      </c>
      <c r="G423" s="1">
        <v>7</v>
      </c>
      <c r="H423" s="6">
        <f t="shared" si="29"/>
        <v>102</v>
      </c>
      <c r="I423" s="1">
        <f>+COUNTIF(F$3:$F423,F423)</f>
        <v>64</v>
      </c>
      <c r="K423" s="132" t="str">
        <f t="shared" si="33"/>
        <v>평일</v>
      </c>
    </row>
    <row r="424" spans="1:11" ht="21.75" customHeight="1" x14ac:dyDescent="0.25">
      <c r="A424" s="2">
        <f t="shared" si="30"/>
        <v>2021</v>
      </c>
      <c r="B424" s="2">
        <f t="shared" si="31"/>
        <v>12</v>
      </c>
      <c r="C424" s="2" t="str">
        <f t="shared" si="32"/>
        <v>금</v>
      </c>
      <c r="D424" s="3">
        <v>44533</v>
      </c>
      <c r="E424" s="7">
        <v>152</v>
      </c>
      <c r="F424" s="2" t="s">
        <v>4</v>
      </c>
      <c r="G424" s="1">
        <v>27</v>
      </c>
      <c r="H424" s="6">
        <f t="shared" si="29"/>
        <v>125</v>
      </c>
      <c r="I424" s="1">
        <f>+COUNTIF(F$3:$F424,F424)</f>
        <v>65</v>
      </c>
      <c r="K424" s="132" t="str">
        <f t="shared" si="33"/>
        <v>평일</v>
      </c>
    </row>
    <row r="425" spans="1:11" ht="21.75" customHeight="1" x14ac:dyDescent="0.25">
      <c r="A425" s="2">
        <f t="shared" si="30"/>
        <v>2021</v>
      </c>
      <c r="B425" s="2">
        <f t="shared" si="31"/>
        <v>12</v>
      </c>
      <c r="C425" s="2" t="str">
        <f t="shared" si="32"/>
        <v>토</v>
      </c>
      <c r="D425" s="3">
        <v>44534</v>
      </c>
      <c r="E425" s="7">
        <v>493</v>
      </c>
      <c r="F425" s="2" t="s">
        <v>4</v>
      </c>
      <c r="G425" s="1">
        <v>50</v>
      </c>
      <c r="H425" s="6">
        <f t="shared" ref="H425:H461" si="34">+E425-G425</f>
        <v>443</v>
      </c>
      <c r="I425" s="1">
        <f>+COUNTIF(F$3:$F425,F425)</f>
        <v>66</v>
      </c>
      <c r="K425" s="132" t="str">
        <f t="shared" si="33"/>
        <v>주말</v>
      </c>
    </row>
    <row r="426" spans="1:11" ht="21.75" customHeight="1" x14ac:dyDescent="0.25">
      <c r="A426" s="2">
        <f t="shared" si="30"/>
        <v>2021</v>
      </c>
      <c r="B426" s="2">
        <f t="shared" si="31"/>
        <v>12</v>
      </c>
      <c r="C426" s="2" t="str">
        <f t="shared" si="32"/>
        <v>일</v>
      </c>
      <c r="D426" s="3">
        <v>44535</v>
      </c>
      <c r="E426" s="7">
        <v>388</v>
      </c>
      <c r="F426" s="2" t="s">
        <v>4</v>
      </c>
      <c r="G426" s="1">
        <v>51</v>
      </c>
      <c r="H426" s="6">
        <f t="shared" si="34"/>
        <v>337</v>
      </c>
      <c r="I426" s="1">
        <f>+COUNTIF(F$3:$F426,F426)</f>
        <v>67</v>
      </c>
      <c r="K426" s="132" t="str">
        <f t="shared" si="33"/>
        <v>주말</v>
      </c>
    </row>
    <row r="427" spans="1:11" ht="21.75" customHeight="1" x14ac:dyDescent="0.25">
      <c r="A427" s="2">
        <f t="shared" si="30"/>
        <v>2021</v>
      </c>
      <c r="B427" s="2">
        <f t="shared" si="31"/>
        <v>12</v>
      </c>
      <c r="C427" s="2" t="str">
        <f t="shared" si="32"/>
        <v>월</v>
      </c>
      <c r="D427" s="3">
        <v>44536</v>
      </c>
      <c r="E427" s="7">
        <v>108</v>
      </c>
      <c r="F427" s="2" t="s">
        <v>4</v>
      </c>
      <c r="G427" s="1">
        <v>23</v>
      </c>
      <c r="H427" s="6">
        <f t="shared" si="34"/>
        <v>85</v>
      </c>
      <c r="I427" s="1">
        <f>+COUNTIF(F$3:$F427,F427)</f>
        <v>68</v>
      </c>
      <c r="K427" s="132" t="str">
        <f t="shared" si="33"/>
        <v>평일</v>
      </c>
    </row>
    <row r="428" spans="1:11" ht="21.75" customHeight="1" x14ac:dyDescent="0.25">
      <c r="A428" s="2">
        <f t="shared" si="30"/>
        <v>2021</v>
      </c>
      <c r="B428" s="2">
        <f t="shared" si="31"/>
        <v>12</v>
      </c>
      <c r="C428" s="2" t="str">
        <f t="shared" si="32"/>
        <v>화</v>
      </c>
      <c r="D428" s="3">
        <v>44537</v>
      </c>
      <c r="E428" s="7">
        <v>92</v>
      </c>
      <c r="F428" s="2" t="s">
        <v>4</v>
      </c>
      <c r="G428" s="1">
        <v>19</v>
      </c>
      <c r="H428" s="6">
        <f t="shared" si="34"/>
        <v>73</v>
      </c>
      <c r="I428" s="1">
        <f>+COUNTIF(F$3:$F428,F428)</f>
        <v>69</v>
      </c>
      <c r="K428" s="132" t="str">
        <f t="shared" si="33"/>
        <v>평일</v>
      </c>
    </row>
    <row r="429" spans="1:11" ht="21.75" customHeight="1" x14ac:dyDescent="0.25">
      <c r="A429" s="2">
        <f t="shared" si="30"/>
        <v>2021</v>
      </c>
      <c r="B429" s="2">
        <f t="shared" si="31"/>
        <v>12</v>
      </c>
      <c r="C429" s="2" t="str">
        <f t="shared" si="32"/>
        <v>수</v>
      </c>
      <c r="D429" s="3">
        <v>44538</v>
      </c>
      <c r="E429" s="7">
        <v>70</v>
      </c>
      <c r="F429" s="2" t="s">
        <v>4</v>
      </c>
      <c r="G429" s="1">
        <v>13</v>
      </c>
      <c r="H429" s="6">
        <f t="shared" si="34"/>
        <v>57</v>
      </c>
      <c r="I429" s="1">
        <f>+COUNTIF(F$3:$F429,F429)</f>
        <v>70</v>
      </c>
      <c r="K429" s="132" t="str">
        <f t="shared" si="33"/>
        <v>평일</v>
      </c>
    </row>
    <row r="430" spans="1:11" ht="21.75" customHeight="1" x14ac:dyDescent="0.25">
      <c r="A430" s="2">
        <f t="shared" si="30"/>
        <v>2021</v>
      </c>
      <c r="B430" s="2">
        <f t="shared" si="31"/>
        <v>12</v>
      </c>
      <c r="C430" s="2" t="str">
        <f t="shared" si="32"/>
        <v>목</v>
      </c>
      <c r="D430" s="3">
        <v>44539</v>
      </c>
      <c r="E430" s="7">
        <v>100</v>
      </c>
      <c r="F430" s="2" t="s">
        <v>4</v>
      </c>
      <c r="G430" s="1">
        <v>16</v>
      </c>
      <c r="H430" s="6">
        <f t="shared" si="34"/>
        <v>84</v>
      </c>
      <c r="I430" s="1">
        <f>+COUNTIF(F$3:$F430,F430)</f>
        <v>71</v>
      </c>
      <c r="K430" s="132" t="str">
        <f t="shared" si="33"/>
        <v>평일</v>
      </c>
    </row>
    <row r="431" spans="1:11" ht="21.75" customHeight="1" x14ac:dyDescent="0.25">
      <c r="A431" s="2">
        <f t="shared" si="30"/>
        <v>2021</v>
      </c>
      <c r="B431" s="2">
        <f t="shared" si="31"/>
        <v>12</v>
      </c>
      <c r="C431" s="2" t="str">
        <f t="shared" si="32"/>
        <v>금</v>
      </c>
      <c r="D431" s="3">
        <v>44540</v>
      </c>
      <c r="E431" s="7">
        <v>134</v>
      </c>
      <c r="F431" s="2" t="s">
        <v>4</v>
      </c>
      <c r="G431" s="1">
        <v>14</v>
      </c>
      <c r="H431" s="6">
        <f t="shared" si="34"/>
        <v>120</v>
      </c>
      <c r="I431" s="1">
        <f>+COUNTIF(F$3:$F431,F431)</f>
        <v>72</v>
      </c>
      <c r="K431" s="132" t="str">
        <f t="shared" si="33"/>
        <v>평일</v>
      </c>
    </row>
    <row r="432" spans="1:11" ht="21.75" customHeight="1" x14ac:dyDescent="0.25">
      <c r="A432" s="2">
        <f t="shared" si="30"/>
        <v>2021</v>
      </c>
      <c r="B432" s="2">
        <f t="shared" si="31"/>
        <v>12</v>
      </c>
      <c r="C432" s="2" t="str">
        <f t="shared" si="32"/>
        <v>토</v>
      </c>
      <c r="D432" s="3">
        <v>44541</v>
      </c>
      <c r="E432" s="7">
        <v>316</v>
      </c>
      <c r="F432" s="2" t="s">
        <v>4</v>
      </c>
      <c r="G432" s="1">
        <v>60</v>
      </c>
      <c r="H432" s="6">
        <f t="shared" si="34"/>
        <v>256</v>
      </c>
      <c r="I432" s="1">
        <f>+COUNTIF(F$3:$F432,F432)</f>
        <v>73</v>
      </c>
      <c r="K432" s="132" t="str">
        <f t="shared" si="33"/>
        <v>주말</v>
      </c>
    </row>
    <row r="433" spans="1:11" ht="21.75" customHeight="1" x14ac:dyDescent="0.25">
      <c r="A433" s="2">
        <f t="shared" si="30"/>
        <v>2021</v>
      </c>
      <c r="B433" s="2">
        <f t="shared" si="31"/>
        <v>12</v>
      </c>
      <c r="C433" s="2" t="str">
        <f t="shared" si="32"/>
        <v>일</v>
      </c>
      <c r="D433" s="3">
        <v>44542</v>
      </c>
      <c r="E433" s="7">
        <v>302</v>
      </c>
      <c r="F433" s="2" t="s">
        <v>4</v>
      </c>
      <c r="G433" s="1">
        <v>57</v>
      </c>
      <c r="H433" s="6">
        <f t="shared" si="34"/>
        <v>245</v>
      </c>
      <c r="I433" s="1">
        <f>+COUNTIF(F$3:$F433,F433)</f>
        <v>74</v>
      </c>
      <c r="K433" s="132" t="str">
        <f t="shared" si="33"/>
        <v>주말</v>
      </c>
    </row>
    <row r="434" spans="1:11" ht="21.75" customHeight="1" x14ac:dyDescent="0.25">
      <c r="A434" s="2">
        <f t="shared" si="30"/>
        <v>2021</v>
      </c>
      <c r="B434" s="2">
        <f t="shared" si="31"/>
        <v>12</v>
      </c>
      <c r="C434" s="2" t="str">
        <f t="shared" si="32"/>
        <v>월</v>
      </c>
      <c r="D434" s="3">
        <v>44543</v>
      </c>
      <c r="E434" s="7">
        <v>96</v>
      </c>
      <c r="F434" s="2" t="s">
        <v>4</v>
      </c>
      <c r="G434" s="1">
        <v>13</v>
      </c>
      <c r="H434" s="6">
        <f t="shared" si="34"/>
        <v>83</v>
      </c>
      <c r="I434" s="1">
        <f>+COUNTIF(F$3:$F434,F434)</f>
        <v>75</v>
      </c>
      <c r="K434" s="132" t="str">
        <f t="shared" si="33"/>
        <v>평일</v>
      </c>
    </row>
    <row r="435" spans="1:11" ht="21.75" customHeight="1" x14ac:dyDescent="0.25">
      <c r="A435" s="2">
        <f t="shared" si="30"/>
        <v>2021</v>
      </c>
      <c r="B435" s="2">
        <f t="shared" si="31"/>
        <v>12</v>
      </c>
      <c r="C435" s="2" t="str">
        <f t="shared" si="32"/>
        <v>화</v>
      </c>
      <c r="D435" s="3">
        <v>44544</v>
      </c>
      <c r="E435" s="7">
        <v>63</v>
      </c>
      <c r="F435" s="2" t="s">
        <v>4</v>
      </c>
      <c r="G435" s="1">
        <v>9</v>
      </c>
      <c r="H435" s="6">
        <f t="shared" si="34"/>
        <v>54</v>
      </c>
      <c r="I435" s="1">
        <f>+COUNTIF(F$3:$F435,F435)</f>
        <v>76</v>
      </c>
      <c r="K435" s="132" t="str">
        <f t="shared" si="33"/>
        <v>평일</v>
      </c>
    </row>
    <row r="436" spans="1:11" ht="21.75" customHeight="1" x14ac:dyDescent="0.25">
      <c r="A436" s="2">
        <f t="shared" si="30"/>
        <v>2021</v>
      </c>
      <c r="B436" s="2">
        <f t="shared" si="31"/>
        <v>12</v>
      </c>
      <c r="C436" s="2" t="str">
        <f t="shared" si="32"/>
        <v>수</v>
      </c>
      <c r="D436" s="3">
        <v>44545</v>
      </c>
      <c r="E436" s="7">
        <v>102</v>
      </c>
      <c r="F436" s="2" t="s">
        <v>4</v>
      </c>
      <c r="G436" s="1">
        <v>11</v>
      </c>
      <c r="H436" s="6">
        <f t="shared" si="34"/>
        <v>91</v>
      </c>
      <c r="I436" s="1">
        <f>+COUNTIF(F$3:$F436,F436)</f>
        <v>77</v>
      </c>
      <c r="K436" s="132" t="str">
        <f t="shared" si="33"/>
        <v>평일</v>
      </c>
    </row>
    <row r="437" spans="1:11" ht="21.75" customHeight="1" x14ac:dyDescent="0.25">
      <c r="A437" s="2">
        <f t="shared" si="30"/>
        <v>2021</v>
      </c>
      <c r="B437" s="2">
        <f t="shared" si="31"/>
        <v>12</v>
      </c>
      <c r="C437" s="2" t="str">
        <f t="shared" si="32"/>
        <v>목</v>
      </c>
      <c r="D437" s="3">
        <v>44546</v>
      </c>
      <c r="E437" s="7">
        <v>133</v>
      </c>
      <c r="F437" s="2" t="s">
        <v>4</v>
      </c>
      <c r="G437" s="1">
        <v>28</v>
      </c>
      <c r="H437" s="6">
        <f t="shared" si="34"/>
        <v>105</v>
      </c>
      <c r="I437" s="1">
        <f>+COUNTIF(F$3:$F437,F437)</f>
        <v>78</v>
      </c>
      <c r="K437" s="132" t="str">
        <f t="shared" si="33"/>
        <v>평일</v>
      </c>
    </row>
    <row r="438" spans="1:11" ht="21.75" customHeight="1" x14ac:dyDescent="0.25">
      <c r="A438" s="2">
        <f t="shared" si="30"/>
        <v>2021</v>
      </c>
      <c r="B438" s="2">
        <f t="shared" si="31"/>
        <v>12</v>
      </c>
      <c r="C438" s="2" t="str">
        <f t="shared" si="32"/>
        <v>금</v>
      </c>
      <c r="D438" s="3">
        <v>44547</v>
      </c>
      <c r="E438" s="7">
        <v>119</v>
      </c>
      <c r="F438" s="2" t="s">
        <v>4</v>
      </c>
      <c r="G438" s="1">
        <v>31</v>
      </c>
      <c r="H438" s="6">
        <f t="shared" si="34"/>
        <v>88</v>
      </c>
      <c r="I438" s="1">
        <f>+COUNTIF(F$3:$F438,F438)</f>
        <v>79</v>
      </c>
      <c r="K438" s="132" t="str">
        <f t="shared" si="33"/>
        <v>평일</v>
      </c>
    </row>
    <row r="439" spans="1:11" ht="21.75" customHeight="1" x14ac:dyDescent="0.25">
      <c r="A439" s="2">
        <f t="shared" si="30"/>
        <v>2021</v>
      </c>
      <c r="B439" s="2">
        <f t="shared" si="31"/>
        <v>12</v>
      </c>
      <c r="C439" s="2" t="str">
        <f t="shared" si="32"/>
        <v>토</v>
      </c>
      <c r="D439" s="3">
        <v>44548</v>
      </c>
      <c r="E439" s="7">
        <v>358</v>
      </c>
      <c r="F439" s="2" t="s">
        <v>4</v>
      </c>
      <c r="G439" s="1">
        <v>80</v>
      </c>
      <c r="H439" s="6">
        <f t="shared" si="34"/>
        <v>278</v>
      </c>
      <c r="I439" s="1">
        <f>+COUNTIF(F$3:$F439,F439)</f>
        <v>80</v>
      </c>
      <c r="K439" s="132" t="str">
        <f t="shared" si="33"/>
        <v>주말</v>
      </c>
    </row>
    <row r="440" spans="1:11" ht="21.75" customHeight="1" x14ac:dyDescent="0.25">
      <c r="A440" s="2">
        <f t="shared" si="30"/>
        <v>2021</v>
      </c>
      <c r="B440" s="2">
        <f t="shared" si="31"/>
        <v>12</v>
      </c>
      <c r="C440" s="2" t="str">
        <f t="shared" si="32"/>
        <v>일</v>
      </c>
      <c r="D440" s="3">
        <v>44549</v>
      </c>
      <c r="E440" s="7">
        <v>376</v>
      </c>
      <c r="F440" s="2" t="s">
        <v>4</v>
      </c>
      <c r="G440" s="1">
        <v>76</v>
      </c>
      <c r="H440" s="6">
        <f t="shared" si="34"/>
        <v>300</v>
      </c>
      <c r="I440" s="1">
        <f>+COUNTIF(F$3:$F440,F440)</f>
        <v>81</v>
      </c>
      <c r="K440" s="132" t="str">
        <f t="shared" si="33"/>
        <v>주말</v>
      </c>
    </row>
    <row r="441" spans="1:11" ht="21.75" customHeight="1" x14ac:dyDescent="0.25">
      <c r="A441" s="2">
        <f t="shared" si="30"/>
        <v>2021</v>
      </c>
      <c r="B441" s="2">
        <f t="shared" si="31"/>
        <v>12</v>
      </c>
      <c r="C441" s="2" t="str">
        <f t="shared" si="32"/>
        <v>월</v>
      </c>
      <c r="D441" s="3">
        <v>44550</v>
      </c>
      <c r="E441" s="7">
        <v>130</v>
      </c>
      <c r="F441" s="2" t="s">
        <v>4</v>
      </c>
      <c r="G441" s="1">
        <v>26</v>
      </c>
      <c r="H441" s="6">
        <f t="shared" si="34"/>
        <v>104</v>
      </c>
      <c r="I441" s="1">
        <f>+COUNTIF(F$3:$F441,F441)</f>
        <v>82</v>
      </c>
      <c r="K441" s="132" t="str">
        <f t="shared" si="33"/>
        <v>평일</v>
      </c>
    </row>
    <row r="442" spans="1:11" ht="21.75" customHeight="1" x14ac:dyDescent="0.25">
      <c r="A442" s="2">
        <f t="shared" si="30"/>
        <v>2021</v>
      </c>
      <c r="B442" s="2">
        <f t="shared" si="31"/>
        <v>12</v>
      </c>
      <c r="C442" s="2" t="str">
        <f t="shared" si="32"/>
        <v>화</v>
      </c>
      <c r="D442" s="3">
        <v>44551</v>
      </c>
      <c r="E442" s="7">
        <v>166</v>
      </c>
      <c r="F442" s="2" t="s">
        <v>4</v>
      </c>
      <c r="G442" s="1">
        <v>43</v>
      </c>
      <c r="H442" s="6">
        <f t="shared" si="34"/>
        <v>123</v>
      </c>
      <c r="I442" s="1">
        <f>+COUNTIF(F$3:$F442,F442)</f>
        <v>83</v>
      </c>
      <c r="K442" s="132" t="str">
        <f t="shared" si="33"/>
        <v>평일</v>
      </c>
    </row>
    <row r="443" spans="1:11" ht="21.75" customHeight="1" x14ac:dyDescent="0.25">
      <c r="A443" s="2">
        <f t="shared" si="30"/>
        <v>2021</v>
      </c>
      <c r="B443" s="2">
        <f t="shared" si="31"/>
        <v>12</v>
      </c>
      <c r="C443" s="2" t="str">
        <f t="shared" si="32"/>
        <v>수</v>
      </c>
      <c r="D443" s="3">
        <v>44552</v>
      </c>
      <c r="E443" s="7">
        <v>201</v>
      </c>
      <c r="F443" s="2" t="s">
        <v>4</v>
      </c>
      <c r="G443" s="1">
        <v>53</v>
      </c>
      <c r="H443" s="6">
        <f t="shared" si="34"/>
        <v>148</v>
      </c>
      <c r="I443" s="1">
        <f>+COUNTIF(F$3:$F443,F443)</f>
        <v>84</v>
      </c>
      <c r="K443" s="132" t="str">
        <f t="shared" si="33"/>
        <v>평일</v>
      </c>
    </row>
    <row r="444" spans="1:11" ht="21.75" customHeight="1" x14ac:dyDescent="0.25">
      <c r="A444" s="2">
        <f t="shared" si="30"/>
        <v>2021</v>
      </c>
      <c r="B444" s="2">
        <f t="shared" si="31"/>
        <v>12</v>
      </c>
      <c r="C444" s="2" t="str">
        <f t="shared" si="32"/>
        <v>목</v>
      </c>
      <c r="D444" s="3">
        <v>44553</v>
      </c>
      <c r="E444" s="7">
        <v>185</v>
      </c>
      <c r="F444" s="2" t="s">
        <v>4</v>
      </c>
      <c r="G444" s="1">
        <v>46</v>
      </c>
      <c r="H444" s="6">
        <f t="shared" si="34"/>
        <v>139</v>
      </c>
      <c r="I444" s="1">
        <f>+COUNTIF(F$3:$F444,F444)</f>
        <v>85</v>
      </c>
      <c r="K444" s="132" t="str">
        <f t="shared" si="33"/>
        <v>평일</v>
      </c>
    </row>
    <row r="445" spans="1:11" ht="21.75" customHeight="1" x14ac:dyDescent="0.25">
      <c r="A445" s="2">
        <f t="shared" si="30"/>
        <v>2021</v>
      </c>
      <c r="B445" s="2">
        <f t="shared" si="31"/>
        <v>12</v>
      </c>
      <c r="C445" s="2" t="str">
        <f t="shared" si="32"/>
        <v>금</v>
      </c>
      <c r="D445" s="3">
        <v>44554</v>
      </c>
      <c r="E445" s="7">
        <v>257</v>
      </c>
      <c r="F445" s="2" t="s">
        <v>4</v>
      </c>
      <c r="G445" s="1">
        <v>58</v>
      </c>
      <c r="H445" s="6">
        <f t="shared" si="34"/>
        <v>199</v>
      </c>
      <c r="I445" s="1">
        <f>+COUNTIF(F$3:$F445,F445)</f>
        <v>86</v>
      </c>
      <c r="K445" s="132" t="str">
        <f t="shared" si="33"/>
        <v>평일</v>
      </c>
    </row>
    <row r="446" spans="1:11" ht="21.75" customHeight="1" x14ac:dyDescent="0.25">
      <c r="A446" s="2">
        <f t="shared" si="30"/>
        <v>2021</v>
      </c>
      <c r="B446" s="2">
        <f t="shared" si="31"/>
        <v>12</v>
      </c>
      <c r="C446" s="2" t="str">
        <f t="shared" si="32"/>
        <v>토</v>
      </c>
      <c r="D446" s="3">
        <v>44555</v>
      </c>
      <c r="E446" s="7">
        <v>578</v>
      </c>
      <c r="F446" s="2" t="s">
        <v>4</v>
      </c>
      <c r="G446" s="1">
        <v>122</v>
      </c>
      <c r="H446" s="6">
        <f t="shared" si="34"/>
        <v>456</v>
      </c>
      <c r="I446" s="1">
        <f>+COUNTIF(F$3:$F446,F446)</f>
        <v>87</v>
      </c>
      <c r="K446" s="132" t="str">
        <f t="shared" si="33"/>
        <v>주말</v>
      </c>
    </row>
    <row r="447" spans="1:11" ht="21.75" customHeight="1" x14ac:dyDescent="0.25">
      <c r="A447" s="2">
        <f t="shared" si="30"/>
        <v>2021</v>
      </c>
      <c r="B447" s="2">
        <f t="shared" si="31"/>
        <v>12</v>
      </c>
      <c r="C447" s="2" t="str">
        <f t="shared" si="32"/>
        <v>일</v>
      </c>
      <c r="D447" s="3">
        <v>44556</v>
      </c>
      <c r="E447" s="7">
        <v>432</v>
      </c>
      <c r="F447" s="2" t="s">
        <v>4</v>
      </c>
      <c r="G447" s="1">
        <v>131</v>
      </c>
      <c r="H447" s="6">
        <f t="shared" si="34"/>
        <v>301</v>
      </c>
      <c r="I447" s="1">
        <f>+COUNTIF(F$3:$F447,F447)</f>
        <v>88</v>
      </c>
      <c r="K447" s="132" t="str">
        <f t="shared" si="33"/>
        <v>주말</v>
      </c>
    </row>
    <row r="448" spans="1:11" ht="21.75" customHeight="1" x14ac:dyDescent="0.25">
      <c r="A448" s="2">
        <f t="shared" si="30"/>
        <v>2021</v>
      </c>
      <c r="B448" s="2">
        <f t="shared" si="31"/>
        <v>12</v>
      </c>
      <c r="C448" s="2" t="str">
        <f t="shared" si="32"/>
        <v>월</v>
      </c>
      <c r="D448" s="3">
        <v>44557</v>
      </c>
      <c r="E448" s="7">
        <v>305</v>
      </c>
      <c r="F448" s="2" t="s">
        <v>4</v>
      </c>
      <c r="G448" s="1">
        <v>84</v>
      </c>
      <c r="H448" s="6">
        <f t="shared" si="34"/>
        <v>221</v>
      </c>
      <c r="I448" s="1">
        <f>+COUNTIF(F$3:$F448,F448)</f>
        <v>89</v>
      </c>
      <c r="K448" s="132" t="str">
        <f t="shared" si="33"/>
        <v>평일</v>
      </c>
    </row>
    <row r="449" spans="1:11" ht="21.75" customHeight="1" x14ac:dyDescent="0.25">
      <c r="A449" s="2">
        <f t="shared" si="30"/>
        <v>2021</v>
      </c>
      <c r="B449" s="2">
        <f t="shared" si="31"/>
        <v>12</v>
      </c>
      <c r="C449" s="2" t="str">
        <f t="shared" si="32"/>
        <v>화</v>
      </c>
      <c r="D449" s="3">
        <v>44558</v>
      </c>
      <c r="E449" s="7">
        <v>332</v>
      </c>
      <c r="F449" s="2" t="s">
        <v>4</v>
      </c>
      <c r="G449" s="1">
        <v>82</v>
      </c>
      <c r="H449" s="6">
        <f t="shared" si="34"/>
        <v>250</v>
      </c>
      <c r="I449" s="1">
        <f>+COUNTIF(F$3:$F449,F449)</f>
        <v>90</v>
      </c>
      <c r="K449" s="132" t="str">
        <f t="shared" si="33"/>
        <v>평일</v>
      </c>
    </row>
    <row r="450" spans="1:11" ht="21.75" customHeight="1" x14ac:dyDescent="0.25">
      <c r="A450" s="2">
        <f t="shared" si="30"/>
        <v>2021</v>
      </c>
      <c r="B450" s="2">
        <f t="shared" si="31"/>
        <v>12</v>
      </c>
      <c r="C450" s="2" t="str">
        <f t="shared" si="32"/>
        <v>수</v>
      </c>
      <c r="D450" s="3">
        <v>44559</v>
      </c>
      <c r="E450" s="7">
        <v>633</v>
      </c>
      <c r="F450" s="2" t="s">
        <v>4</v>
      </c>
      <c r="G450" s="1">
        <v>123</v>
      </c>
      <c r="H450" s="6">
        <f t="shared" si="34"/>
        <v>510</v>
      </c>
      <c r="I450" s="1">
        <f>+COUNTIF(F$3:$F450,F450)</f>
        <v>91</v>
      </c>
      <c r="K450" s="132" t="str">
        <f t="shared" si="33"/>
        <v>평일</v>
      </c>
    </row>
    <row r="451" spans="1:11" ht="21.75" customHeight="1" x14ac:dyDescent="0.25">
      <c r="A451" s="2">
        <f t="shared" si="30"/>
        <v>2021</v>
      </c>
      <c r="B451" s="2">
        <f t="shared" si="31"/>
        <v>12</v>
      </c>
      <c r="C451" s="2" t="str">
        <f t="shared" si="32"/>
        <v>목</v>
      </c>
      <c r="D451" s="3">
        <v>44560</v>
      </c>
      <c r="E451" s="7">
        <v>503</v>
      </c>
      <c r="F451" s="2" t="s">
        <v>4</v>
      </c>
      <c r="G451" s="1">
        <v>133</v>
      </c>
      <c r="H451" s="6">
        <f t="shared" si="34"/>
        <v>370</v>
      </c>
      <c r="I451" s="1">
        <f>+COUNTIF(F$3:$F451,F451)</f>
        <v>92</v>
      </c>
      <c r="K451" s="132" t="str">
        <f t="shared" si="33"/>
        <v>평일</v>
      </c>
    </row>
    <row r="452" spans="1:11" ht="21.75" customHeight="1" x14ac:dyDescent="0.25">
      <c r="A452" s="2">
        <f t="shared" ref="A452:A515" si="35">+YEAR(D452)</f>
        <v>2021</v>
      </c>
      <c r="B452" s="2">
        <f t="shared" ref="B452:B515" si="36">+MONTH(D452)</f>
        <v>12</v>
      </c>
      <c r="C452" s="2" t="str">
        <f t="shared" ref="C452:C515" si="37">+TEXT(D452,"aaa")</f>
        <v>금</v>
      </c>
      <c r="D452" s="3">
        <v>44561</v>
      </c>
      <c r="E452" s="7">
        <v>539</v>
      </c>
      <c r="F452" s="2" t="s">
        <v>4</v>
      </c>
      <c r="G452" s="1">
        <v>171</v>
      </c>
      <c r="H452" s="6">
        <f t="shared" si="34"/>
        <v>368</v>
      </c>
      <c r="I452" s="1">
        <f>+COUNTIF(F$3:$F452,F452)</f>
        <v>93</v>
      </c>
      <c r="K452" s="132" t="str">
        <f t="shared" ref="K452:K515" si="38">+IF(OR(C452="토",C452="일"),"주말","평일")</f>
        <v>평일</v>
      </c>
    </row>
    <row r="453" spans="1:11" ht="21.75" customHeight="1" x14ac:dyDescent="0.25">
      <c r="A453" s="2">
        <f t="shared" si="35"/>
        <v>2022</v>
      </c>
      <c r="B453" s="2">
        <f t="shared" si="36"/>
        <v>1</v>
      </c>
      <c r="C453" s="2" t="str">
        <f t="shared" si="37"/>
        <v>토</v>
      </c>
      <c r="D453" s="3">
        <v>44562</v>
      </c>
      <c r="E453" s="7">
        <v>0</v>
      </c>
      <c r="F453" s="2" t="s">
        <v>4</v>
      </c>
      <c r="G453" s="1">
        <v>0</v>
      </c>
      <c r="H453" s="6">
        <f t="shared" si="34"/>
        <v>0</v>
      </c>
      <c r="I453" s="1">
        <f>+COUNTIF(F$3:$F453,F453)</f>
        <v>94</v>
      </c>
      <c r="K453" s="132" t="str">
        <f t="shared" si="38"/>
        <v>주말</v>
      </c>
    </row>
    <row r="454" spans="1:11" ht="21.75" customHeight="1" x14ac:dyDescent="0.25">
      <c r="A454" s="2">
        <f t="shared" si="35"/>
        <v>2022</v>
      </c>
      <c r="B454" s="2">
        <f t="shared" si="36"/>
        <v>1</v>
      </c>
      <c r="C454" s="2" t="str">
        <f t="shared" si="37"/>
        <v>일</v>
      </c>
      <c r="D454" s="3">
        <v>44563</v>
      </c>
      <c r="E454" s="7">
        <v>1215</v>
      </c>
      <c r="F454" s="2" t="s">
        <v>4</v>
      </c>
      <c r="G454" s="1">
        <v>505</v>
      </c>
      <c r="H454" s="6">
        <f t="shared" si="34"/>
        <v>710</v>
      </c>
      <c r="I454" s="1">
        <f>+COUNTIF(F$3:$F454,F454)</f>
        <v>95</v>
      </c>
      <c r="K454" s="132" t="str">
        <f t="shared" si="38"/>
        <v>주말</v>
      </c>
    </row>
    <row r="455" spans="1:11" ht="21.75" customHeight="1" x14ac:dyDescent="0.25">
      <c r="A455" s="2">
        <f t="shared" si="35"/>
        <v>2022</v>
      </c>
      <c r="B455" s="2">
        <f t="shared" si="36"/>
        <v>1</v>
      </c>
      <c r="C455" s="2" t="str">
        <f t="shared" si="37"/>
        <v>월</v>
      </c>
      <c r="D455" s="3">
        <v>44564</v>
      </c>
      <c r="E455" s="7">
        <v>121</v>
      </c>
      <c r="F455" s="2" t="s">
        <v>4</v>
      </c>
      <c r="G455" s="1">
        <v>6</v>
      </c>
      <c r="H455" s="6">
        <f t="shared" si="34"/>
        <v>115</v>
      </c>
      <c r="I455" s="1">
        <f>+COUNTIF(F$3:$F455,F455)</f>
        <v>96</v>
      </c>
      <c r="K455" s="132" t="str">
        <f t="shared" si="38"/>
        <v>평일</v>
      </c>
    </row>
    <row r="456" spans="1:11" ht="21.75" customHeight="1" x14ac:dyDescent="0.25">
      <c r="A456" s="2">
        <f t="shared" si="35"/>
        <v>2022</v>
      </c>
      <c r="B456" s="2">
        <f t="shared" si="36"/>
        <v>1</v>
      </c>
      <c r="C456" s="2" t="str">
        <f t="shared" si="37"/>
        <v>화</v>
      </c>
      <c r="D456" s="3">
        <v>44565</v>
      </c>
      <c r="E456" s="7">
        <v>239</v>
      </c>
      <c r="F456" s="2" t="s">
        <v>4</v>
      </c>
      <c r="G456" s="1">
        <v>18</v>
      </c>
      <c r="H456" s="6">
        <f t="shared" si="34"/>
        <v>221</v>
      </c>
      <c r="I456" s="1">
        <f>+COUNTIF(F$3:$F456,F456)</f>
        <v>97</v>
      </c>
      <c r="K456" s="132" t="str">
        <f t="shared" si="38"/>
        <v>평일</v>
      </c>
    </row>
    <row r="457" spans="1:11" ht="21.75" customHeight="1" x14ac:dyDescent="0.25">
      <c r="A457" s="2">
        <f t="shared" si="35"/>
        <v>2022</v>
      </c>
      <c r="B457" s="2">
        <f t="shared" si="36"/>
        <v>1</v>
      </c>
      <c r="C457" s="2" t="str">
        <f t="shared" si="37"/>
        <v>수</v>
      </c>
      <c r="D457" s="3">
        <v>44566</v>
      </c>
      <c r="E457" s="7">
        <v>390</v>
      </c>
      <c r="F457" s="2" t="s">
        <v>4</v>
      </c>
      <c r="G457" s="1">
        <v>23</v>
      </c>
      <c r="H457" s="6">
        <f t="shared" si="34"/>
        <v>367</v>
      </c>
      <c r="I457" s="1">
        <f>+COUNTIF(F$3:$F457,F457)</f>
        <v>98</v>
      </c>
      <c r="K457" s="132" t="str">
        <f t="shared" si="38"/>
        <v>평일</v>
      </c>
    </row>
    <row r="458" spans="1:11" ht="21.75" customHeight="1" x14ac:dyDescent="0.25">
      <c r="A458" s="2">
        <f t="shared" si="35"/>
        <v>2022</v>
      </c>
      <c r="B458" s="2">
        <f t="shared" si="36"/>
        <v>1</v>
      </c>
      <c r="C458" s="2" t="str">
        <f t="shared" si="37"/>
        <v>목</v>
      </c>
      <c r="D458" s="3">
        <v>44567</v>
      </c>
      <c r="E458" s="7">
        <v>400</v>
      </c>
      <c r="F458" s="2" t="s">
        <v>4</v>
      </c>
      <c r="G458" s="1">
        <v>36</v>
      </c>
      <c r="H458" s="6">
        <f t="shared" si="34"/>
        <v>364</v>
      </c>
      <c r="I458" s="1">
        <f>+COUNTIF(F$3:$F458,F458)</f>
        <v>99</v>
      </c>
      <c r="K458" s="132" t="str">
        <f t="shared" si="38"/>
        <v>평일</v>
      </c>
    </row>
    <row r="459" spans="1:11" ht="21.75" customHeight="1" x14ac:dyDescent="0.25">
      <c r="A459" s="2">
        <f t="shared" si="35"/>
        <v>2022</v>
      </c>
      <c r="B459" s="2">
        <f t="shared" si="36"/>
        <v>1</v>
      </c>
      <c r="C459" s="2" t="str">
        <f t="shared" si="37"/>
        <v>금</v>
      </c>
      <c r="D459" s="3">
        <v>44568</v>
      </c>
      <c r="E459" s="7">
        <v>493</v>
      </c>
      <c r="F459" s="2" t="s">
        <v>4</v>
      </c>
      <c r="G459" s="1">
        <v>21</v>
      </c>
      <c r="H459" s="6">
        <f t="shared" si="34"/>
        <v>472</v>
      </c>
      <c r="I459" s="1">
        <f>+COUNTIF(F$3:$F459,F459)</f>
        <v>100</v>
      </c>
      <c r="K459" s="132" t="str">
        <f t="shared" si="38"/>
        <v>평일</v>
      </c>
    </row>
    <row r="460" spans="1:11" ht="21.75" customHeight="1" x14ac:dyDescent="0.25">
      <c r="A460" s="2">
        <f t="shared" si="35"/>
        <v>2022</v>
      </c>
      <c r="B460" s="2">
        <f t="shared" si="36"/>
        <v>1</v>
      </c>
      <c r="C460" s="2" t="str">
        <f t="shared" si="37"/>
        <v>토</v>
      </c>
      <c r="D460" s="3">
        <v>44569</v>
      </c>
      <c r="E460" s="7">
        <v>1009</v>
      </c>
      <c r="F460" s="2" t="s">
        <v>4</v>
      </c>
      <c r="G460" s="1">
        <v>99</v>
      </c>
      <c r="H460" s="6">
        <f t="shared" si="34"/>
        <v>910</v>
      </c>
      <c r="I460" s="1">
        <f>+COUNTIF(F$3:$F460,F460)</f>
        <v>101</v>
      </c>
      <c r="K460" s="132" t="str">
        <f t="shared" si="38"/>
        <v>주말</v>
      </c>
    </row>
    <row r="461" spans="1:11" ht="21.75" customHeight="1" x14ac:dyDescent="0.25">
      <c r="A461" s="2">
        <f t="shared" si="35"/>
        <v>2022</v>
      </c>
      <c r="B461" s="2">
        <f t="shared" si="36"/>
        <v>1</v>
      </c>
      <c r="C461" s="2" t="str">
        <f t="shared" si="37"/>
        <v>일</v>
      </c>
      <c r="D461" s="3">
        <v>44570</v>
      </c>
      <c r="E461" s="7">
        <v>1089</v>
      </c>
      <c r="F461" s="2" t="s">
        <v>4</v>
      </c>
      <c r="G461" s="1">
        <v>107</v>
      </c>
      <c r="H461" s="6">
        <f t="shared" si="34"/>
        <v>982</v>
      </c>
      <c r="I461" s="1">
        <f>+COUNTIF(F$3:$F461,F461)</f>
        <v>102</v>
      </c>
      <c r="K461" s="132" t="str">
        <f t="shared" si="38"/>
        <v>주말</v>
      </c>
    </row>
    <row r="462" spans="1:11" ht="21.75" customHeight="1" x14ac:dyDescent="0.25">
      <c r="A462" s="2">
        <f t="shared" si="35"/>
        <v>2022</v>
      </c>
      <c r="B462" s="2">
        <f t="shared" si="36"/>
        <v>1</v>
      </c>
      <c r="C462" s="2" t="str">
        <f t="shared" si="37"/>
        <v>월</v>
      </c>
      <c r="D462" s="3">
        <v>44571</v>
      </c>
      <c r="E462" s="7">
        <v>0</v>
      </c>
      <c r="F462" s="2">
        <v>0</v>
      </c>
      <c r="I462" s="1">
        <f>+COUNTIF(F$3:$F462,F462)</f>
        <v>81</v>
      </c>
      <c r="K462" s="132" t="str">
        <f t="shared" si="38"/>
        <v>평일</v>
      </c>
    </row>
    <row r="463" spans="1:11" ht="21.75" customHeight="1" x14ac:dyDescent="0.25">
      <c r="A463" s="2">
        <f t="shared" si="35"/>
        <v>2022</v>
      </c>
      <c r="B463" s="2">
        <f t="shared" si="36"/>
        <v>1</v>
      </c>
      <c r="C463" s="2" t="str">
        <f t="shared" si="37"/>
        <v>화</v>
      </c>
      <c r="D463" s="3">
        <v>44572</v>
      </c>
      <c r="E463" s="7">
        <v>0</v>
      </c>
      <c r="F463" s="2">
        <v>0</v>
      </c>
      <c r="I463" s="1">
        <f>+COUNTIF(F$3:$F463,F463)</f>
        <v>82</v>
      </c>
      <c r="K463" s="132" t="str">
        <f t="shared" si="38"/>
        <v>평일</v>
      </c>
    </row>
    <row r="464" spans="1:11" ht="21.75" customHeight="1" x14ac:dyDescent="0.25">
      <c r="A464" s="2">
        <f t="shared" si="35"/>
        <v>2022</v>
      </c>
      <c r="B464" s="2">
        <f t="shared" si="36"/>
        <v>1</v>
      </c>
      <c r="C464" s="2" t="str">
        <f t="shared" si="37"/>
        <v>수</v>
      </c>
      <c r="D464" s="3">
        <v>44573</v>
      </c>
      <c r="E464" s="7">
        <v>0</v>
      </c>
      <c r="F464" s="2">
        <v>0</v>
      </c>
      <c r="I464" s="1">
        <f>+COUNTIF(F$3:$F464,F464)</f>
        <v>83</v>
      </c>
      <c r="K464" s="132" t="str">
        <f t="shared" si="38"/>
        <v>평일</v>
      </c>
    </row>
    <row r="465" spans="1:11" ht="21.75" customHeight="1" x14ac:dyDescent="0.25">
      <c r="A465" s="2">
        <f t="shared" si="35"/>
        <v>2022</v>
      </c>
      <c r="B465" s="2">
        <f t="shared" si="36"/>
        <v>1</v>
      </c>
      <c r="C465" s="2" t="str">
        <f t="shared" si="37"/>
        <v>목</v>
      </c>
      <c r="D465" s="3">
        <v>44574</v>
      </c>
      <c r="E465" s="7">
        <v>0</v>
      </c>
      <c r="F465" s="2">
        <v>0</v>
      </c>
      <c r="I465" s="1">
        <f>+COUNTIF(F$3:$F465,F465)</f>
        <v>84</v>
      </c>
      <c r="K465" s="132" t="str">
        <f t="shared" si="38"/>
        <v>평일</v>
      </c>
    </row>
    <row r="466" spans="1:11" ht="21.75" customHeight="1" x14ac:dyDescent="0.25">
      <c r="A466" s="2">
        <f t="shared" si="35"/>
        <v>2022</v>
      </c>
      <c r="B466" s="2">
        <f t="shared" si="36"/>
        <v>1</v>
      </c>
      <c r="C466" s="2" t="str">
        <f t="shared" si="37"/>
        <v>금</v>
      </c>
      <c r="D466" s="3">
        <v>44575</v>
      </c>
      <c r="E466" s="7">
        <v>0</v>
      </c>
      <c r="F466" s="2">
        <v>0</v>
      </c>
      <c r="I466" s="1">
        <f>+COUNTIF(F$3:$F466,F466)</f>
        <v>85</v>
      </c>
      <c r="K466" s="132" t="str">
        <f t="shared" si="38"/>
        <v>평일</v>
      </c>
    </row>
    <row r="467" spans="1:11" ht="21.75" customHeight="1" x14ac:dyDescent="0.25">
      <c r="A467" s="2">
        <f t="shared" si="35"/>
        <v>2022</v>
      </c>
      <c r="B467" s="2">
        <f t="shared" si="36"/>
        <v>1</v>
      </c>
      <c r="C467" s="2" t="str">
        <f t="shared" si="37"/>
        <v>토</v>
      </c>
      <c r="D467" s="3">
        <v>44576</v>
      </c>
      <c r="E467" s="7">
        <v>0</v>
      </c>
      <c r="F467" s="2">
        <v>0</v>
      </c>
      <c r="I467" s="1">
        <f>+COUNTIF(F$3:$F467,F467)</f>
        <v>86</v>
      </c>
      <c r="K467" s="132" t="str">
        <f t="shared" si="38"/>
        <v>주말</v>
      </c>
    </row>
    <row r="468" spans="1:11" ht="21.75" customHeight="1" x14ac:dyDescent="0.25">
      <c r="A468" s="2">
        <f t="shared" si="35"/>
        <v>2022</v>
      </c>
      <c r="B468" s="2">
        <f t="shared" si="36"/>
        <v>1</v>
      </c>
      <c r="C468" s="2" t="str">
        <f t="shared" si="37"/>
        <v>일</v>
      </c>
      <c r="D468" s="3">
        <v>44577</v>
      </c>
      <c r="E468" s="7">
        <v>0</v>
      </c>
      <c r="F468" s="2">
        <v>0</v>
      </c>
      <c r="I468" s="1">
        <f>+COUNTIF(F$3:$F468,F468)</f>
        <v>87</v>
      </c>
      <c r="K468" s="132" t="str">
        <f t="shared" si="38"/>
        <v>주말</v>
      </c>
    </row>
    <row r="469" spans="1:11" ht="21.75" customHeight="1" x14ac:dyDescent="0.25">
      <c r="A469" s="2">
        <f t="shared" si="35"/>
        <v>2022</v>
      </c>
      <c r="B469" s="2">
        <f t="shared" si="36"/>
        <v>1</v>
      </c>
      <c r="C469" s="2" t="str">
        <f t="shared" si="37"/>
        <v>월</v>
      </c>
      <c r="D469" s="3">
        <v>44578</v>
      </c>
      <c r="E469" s="7">
        <v>0</v>
      </c>
      <c r="F469" s="2">
        <v>0</v>
      </c>
      <c r="I469" s="1">
        <f>+COUNTIF(F$3:$F469,F469)</f>
        <v>88</v>
      </c>
      <c r="K469" s="132" t="str">
        <f t="shared" si="38"/>
        <v>평일</v>
      </c>
    </row>
    <row r="470" spans="1:11" ht="21.75" customHeight="1" x14ac:dyDescent="0.25">
      <c r="A470" s="2">
        <f t="shared" si="35"/>
        <v>2022</v>
      </c>
      <c r="B470" s="2">
        <f t="shared" si="36"/>
        <v>1</v>
      </c>
      <c r="C470" s="2" t="str">
        <f t="shared" si="37"/>
        <v>화</v>
      </c>
      <c r="D470" s="3">
        <v>44579</v>
      </c>
      <c r="E470" s="7">
        <v>0</v>
      </c>
      <c r="F470" s="2">
        <v>0</v>
      </c>
      <c r="I470" s="1">
        <f>+COUNTIF(F$3:$F470,F470)</f>
        <v>89</v>
      </c>
      <c r="K470" s="132" t="str">
        <f t="shared" si="38"/>
        <v>평일</v>
      </c>
    </row>
    <row r="471" spans="1:11" ht="21.75" customHeight="1" x14ac:dyDescent="0.25">
      <c r="A471" s="2">
        <f t="shared" si="35"/>
        <v>2022</v>
      </c>
      <c r="B471" s="2">
        <f t="shared" si="36"/>
        <v>1</v>
      </c>
      <c r="C471" s="2" t="str">
        <f t="shared" si="37"/>
        <v>수</v>
      </c>
      <c r="D471" s="3">
        <v>44580</v>
      </c>
      <c r="E471" s="7">
        <v>0</v>
      </c>
      <c r="F471" s="2">
        <v>0</v>
      </c>
      <c r="I471" s="1">
        <f>+COUNTIF(F$3:$F471,F471)</f>
        <v>90</v>
      </c>
      <c r="K471" s="132" t="str">
        <f t="shared" si="38"/>
        <v>평일</v>
      </c>
    </row>
    <row r="472" spans="1:11" ht="21.75" customHeight="1" x14ac:dyDescent="0.25">
      <c r="A472" s="2">
        <f t="shared" si="35"/>
        <v>2022</v>
      </c>
      <c r="B472" s="2">
        <f t="shared" si="36"/>
        <v>1</v>
      </c>
      <c r="C472" s="2" t="str">
        <f t="shared" si="37"/>
        <v>목</v>
      </c>
      <c r="D472" s="3">
        <v>44581</v>
      </c>
      <c r="E472" s="7">
        <v>0</v>
      </c>
      <c r="F472" s="2">
        <v>0</v>
      </c>
      <c r="I472" s="1">
        <f>+COUNTIF(F$3:$F472,F472)</f>
        <v>91</v>
      </c>
      <c r="K472" s="132" t="str">
        <f t="shared" si="38"/>
        <v>평일</v>
      </c>
    </row>
    <row r="473" spans="1:11" ht="21.75" customHeight="1" x14ac:dyDescent="0.25">
      <c r="A473" s="2">
        <f t="shared" si="35"/>
        <v>2022</v>
      </c>
      <c r="B473" s="2">
        <f t="shared" si="36"/>
        <v>1</v>
      </c>
      <c r="C473" s="2" t="str">
        <f t="shared" si="37"/>
        <v>금</v>
      </c>
      <c r="D473" s="3">
        <v>44582</v>
      </c>
      <c r="E473" s="7">
        <v>0</v>
      </c>
      <c r="F473" s="2">
        <v>0</v>
      </c>
      <c r="I473" s="1">
        <f>+COUNTIF(F$3:$F473,F473)</f>
        <v>92</v>
      </c>
      <c r="K473" s="132" t="str">
        <f t="shared" si="38"/>
        <v>평일</v>
      </c>
    </row>
    <row r="474" spans="1:11" ht="21.75" customHeight="1" x14ac:dyDescent="0.25">
      <c r="A474" s="2">
        <f t="shared" si="35"/>
        <v>2022</v>
      </c>
      <c r="B474" s="2">
        <f t="shared" si="36"/>
        <v>1</v>
      </c>
      <c r="C474" s="2" t="str">
        <f t="shared" si="37"/>
        <v>토</v>
      </c>
      <c r="D474" s="3">
        <v>44583</v>
      </c>
      <c r="E474" s="7">
        <v>0</v>
      </c>
      <c r="F474" s="2">
        <v>0</v>
      </c>
      <c r="I474" s="1">
        <f>+COUNTIF(F$3:$F474,F474)</f>
        <v>93</v>
      </c>
      <c r="K474" s="132" t="str">
        <f t="shared" si="38"/>
        <v>주말</v>
      </c>
    </row>
    <row r="475" spans="1:11" ht="21.75" customHeight="1" x14ac:dyDescent="0.25">
      <c r="A475" s="2">
        <f t="shared" si="35"/>
        <v>2022</v>
      </c>
      <c r="B475" s="2">
        <f t="shared" si="36"/>
        <v>1</v>
      </c>
      <c r="C475" s="2" t="str">
        <f t="shared" si="37"/>
        <v>일</v>
      </c>
      <c r="D475" s="3">
        <v>44584</v>
      </c>
      <c r="E475" s="7">
        <v>0</v>
      </c>
      <c r="F475" s="2">
        <v>0</v>
      </c>
      <c r="I475" s="1">
        <f>+COUNTIF(F$3:$F475,F475)</f>
        <v>94</v>
      </c>
      <c r="K475" s="132" t="str">
        <f t="shared" si="38"/>
        <v>주말</v>
      </c>
    </row>
    <row r="476" spans="1:11" ht="21.75" customHeight="1" x14ac:dyDescent="0.25">
      <c r="A476" s="2">
        <f t="shared" si="35"/>
        <v>2022</v>
      </c>
      <c r="B476" s="2">
        <f t="shared" si="36"/>
        <v>1</v>
      </c>
      <c r="C476" s="2" t="str">
        <f t="shared" si="37"/>
        <v>월</v>
      </c>
      <c r="D476" s="3">
        <v>44585</v>
      </c>
      <c r="E476" s="7">
        <v>0</v>
      </c>
      <c r="F476" s="2">
        <v>0</v>
      </c>
      <c r="I476" s="1">
        <f>+COUNTIF(F$3:$F476,F476)</f>
        <v>95</v>
      </c>
      <c r="K476" s="132" t="str">
        <f t="shared" si="38"/>
        <v>평일</v>
      </c>
    </row>
    <row r="477" spans="1:11" ht="21.75" customHeight="1" x14ac:dyDescent="0.25">
      <c r="A477" s="2">
        <f t="shared" si="35"/>
        <v>2022</v>
      </c>
      <c r="B477" s="2">
        <f t="shared" si="36"/>
        <v>1</v>
      </c>
      <c r="C477" s="2" t="str">
        <f t="shared" si="37"/>
        <v>화</v>
      </c>
      <c r="D477" s="3">
        <v>44586</v>
      </c>
      <c r="E477" s="7">
        <v>0</v>
      </c>
      <c r="F477" s="2">
        <v>0</v>
      </c>
      <c r="I477" s="1">
        <f>+COUNTIF(F$3:$F477,F477)</f>
        <v>96</v>
      </c>
      <c r="K477" s="132" t="str">
        <f t="shared" si="38"/>
        <v>평일</v>
      </c>
    </row>
    <row r="478" spans="1:11" ht="21.75" customHeight="1" x14ac:dyDescent="0.25">
      <c r="A478" s="2">
        <f t="shared" si="35"/>
        <v>2022</v>
      </c>
      <c r="B478" s="2">
        <f t="shared" si="36"/>
        <v>1</v>
      </c>
      <c r="C478" s="2" t="str">
        <f t="shared" si="37"/>
        <v>수</v>
      </c>
      <c r="D478" s="3">
        <v>44587</v>
      </c>
      <c r="E478" s="7">
        <v>0</v>
      </c>
      <c r="F478" s="2">
        <v>0</v>
      </c>
      <c r="I478" s="1">
        <f>+COUNTIF(F$3:$F478,F478)</f>
        <v>97</v>
      </c>
      <c r="K478" s="132" t="str">
        <f t="shared" si="38"/>
        <v>평일</v>
      </c>
    </row>
    <row r="479" spans="1:11" ht="21.75" customHeight="1" x14ac:dyDescent="0.25">
      <c r="A479" s="2">
        <f t="shared" si="35"/>
        <v>2022</v>
      </c>
      <c r="B479" s="2">
        <f t="shared" si="36"/>
        <v>1</v>
      </c>
      <c r="C479" s="2" t="str">
        <f t="shared" si="37"/>
        <v>목</v>
      </c>
      <c r="D479" s="3">
        <v>44588</v>
      </c>
      <c r="E479" s="7">
        <v>0</v>
      </c>
      <c r="F479" s="2">
        <v>0</v>
      </c>
      <c r="I479" s="1">
        <f>+COUNTIF(F$3:$F479,F479)</f>
        <v>98</v>
      </c>
      <c r="K479" s="132" t="str">
        <f t="shared" si="38"/>
        <v>평일</v>
      </c>
    </row>
    <row r="480" spans="1:11" ht="21.75" customHeight="1" x14ac:dyDescent="0.25">
      <c r="A480" s="2">
        <f t="shared" si="35"/>
        <v>2022</v>
      </c>
      <c r="B480" s="2">
        <f t="shared" si="36"/>
        <v>1</v>
      </c>
      <c r="C480" s="2" t="str">
        <f t="shared" si="37"/>
        <v>금</v>
      </c>
      <c r="D480" s="3">
        <v>44589</v>
      </c>
      <c r="E480" s="7">
        <v>0</v>
      </c>
      <c r="F480" s="2">
        <v>0</v>
      </c>
      <c r="I480" s="1">
        <f>+COUNTIF(F$3:$F480,F480)</f>
        <v>99</v>
      </c>
      <c r="K480" s="132" t="str">
        <f t="shared" si="38"/>
        <v>평일</v>
      </c>
    </row>
    <row r="481" spans="1:11" ht="21.75" customHeight="1" x14ac:dyDescent="0.25">
      <c r="A481" s="2">
        <f t="shared" si="35"/>
        <v>2022</v>
      </c>
      <c r="B481" s="2">
        <f t="shared" si="36"/>
        <v>1</v>
      </c>
      <c r="C481" s="2" t="str">
        <f t="shared" si="37"/>
        <v>토</v>
      </c>
      <c r="D481" s="3">
        <v>44590</v>
      </c>
      <c r="E481" s="7">
        <v>0</v>
      </c>
      <c r="F481" s="2">
        <v>0</v>
      </c>
      <c r="I481" s="1">
        <f>+COUNTIF(F$3:$F481,F481)</f>
        <v>100</v>
      </c>
      <c r="K481" s="132" t="str">
        <f t="shared" si="38"/>
        <v>주말</v>
      </c>
    </row>
    <row r="482" spans="1:11" ht="21.75" customHeight="1" x14ac:dyDescent="0.25">
      <c r="A482" s="2">
        <f t="shared" si="35"/>
        <v>2022</v>
      </c>
      <c r="B482" s="2">
        <f t="shared" si="36"/>
        <v>1</v>
      </c>
      <c r="C482" s="2" t="str">
        <f t="shared" si="37"/>
        <v>일</v>
      </c>
      <c r="D482" s="3">
        <v>44591</v>
      </c>
      <c r="E482" s="7">
        <v>0</v>
      </c>
      <c r="F482" s="2">
        <v>0</v>
      </c>
      <c r="I482" s="1">
        <f>+COUNTIF(F$3:$F482,F482)</f>
        <v>101</v>
      </c>
      <c r="K482" s="132" t="str">
        <f t="shared" si="38"/>
        <v>주말</v>
      </c>
    </row>
    <row r="483" spans="1:11" ht="21.75" customHeight="1" x14ac:dyDescent="0.25">
      <c r="A483" s="2">
        <f t="shared" si="35"/>
        <v>2022</v>
      </c>
      <c r="B483" s="2">
        <f t="shared" si="36"/>
        <v>1</v>
      </c>
      <c r="C483" s="2" t="str">
        <f t="shared" si="37"/>
        <v>월</v>
      </c>
      <c r="D483" s="3">
        <v>44592</v>
      </c>
      <c r="E483" s="7">
        <v>0</v>
      </c>
      <c r="F483" s="2">
        <v>0</v>
      </c>
      <c r="I483" s="1">
        <f>+COUNTIF(F$3:$F483,F483)</f>
        <v>102</v>
      </c>
      <c r="K483" s="132" t="str">
        <f t="shared" si="38"/>
        <v>평일</v>
      </c>
    </row>
    <row r="484" spans="1:11" ht="21.75" customHeight="1" x14ac:dyDescent="0.25">
      <c r="A484" s="2">
        <f t="shared" si="35"/>
        <v>2022</v>
      </c>
      <c r="B484" s="2">
        <f t="shared" si="36"/>
        <v>2</v>
      </c>
      <c r="C484" s="2" t="str">
        <f t="shared" si="37"/>
        <v>화</v>
      </c>
      <c r="D484" s="3">
        <v>44593</v>
      </c>
      <c r="E484" s="7">
        <v>0</v>
      </c>
      <c r="F484" s="2">
        <v>0</v>
      </c>
      <c r="I484" s="1">
        <f>+COUNTIF(F$3:$F484,F484)</f>
        <v>103</v>
      </c>
      <c r="K484" s="132" t="str">
        <f t="shared" si="38"/>
        <v>평일</v>
      </c>
    </row>
    <row r="485" spans="1:11" ht="21.75" customHeight="1" x14ac:dyDescent="0.25">
      <c r="A485" s="2">
        <f t="shared" si="35"/>
        <v>2022</v>
      </c>
      <c r="B485" s="2">
        <f t="shared" si="36"/>
        <v>2</v>
      </c>
      <c r="C485" s="2" t="str">
        <f t="shared" si="37"/>
        <v>수</v>
      </c>
      <c r="D485" s="3">
        <v>44594</v>
      </c>
      <c r="E485" s="7">
        <v>0</v>
      </c>
      <c r="F485" s="2">
        <v>0</v>
      </c>
      <c r="I485" s="1">
        <f>+COUNTIF(F$3:$F485,F485)</f>
        <v>104</v>
      </c>
      <c r="K485" s="132" t="str">
        <f t="shared" si="38"/>
        <v>평일</v>
      </c>
    </row>
    <row r="486" spans="1:11" ht="21.75" customHeight="1" x14ac:dyDescent="0.25">
      <c r="A486" s="2">
        <f t="shared" si="35"/>
        <v>2022</v>
      </c>
      <c r="B486" s="2">
        <f t="shared" si="36"/>
        <v>2</v>
      </c>
      <c r="C486" s="2" t="str">
        <f t="shared" si="37"/>
        <v>목</v>
      </c>
      <c r="D486" s="3">
        <v>44595</v>
      </c>
      <c r="E486" s="7">
        <v>0</v>
      </c>
      <c r="F486" s="2">
        <v>0</v>
      </c>
      <c r="I486" s="1">
        <f>+COUNTIF(F$3:$F486,F486)</f>
        <v>105</v>
      </c>
      <c r="K486" s="132" t="str">
        <f t="shared" si="38"/>
        <v>평일</v>
      </c>
    </row>
    <row r="487" spans="1:11" ht="21.75" customHeight="1" x14ac:dyDescent="0.25">
      <c r="A487" s="2">
        <f t="shared" si="35"/>
        <v>2022</v>
      </c>
      <c r="B487" s="2">
        <f t="shared" si="36"/>
        <v>2</v>
      </c>
      <c r="C487" s="2" t="str">
        <f t="shared" si="37"/>
        <v>금</v>
      </c>
      <c r="D487" s="3">
        <v>44596</v>
      </c>
      <c r="E487" s="7">
        <v>0</v>
      </c>
      <c r="F487" s="2">
        <v>0</v>
      </c>
      <c r="I487" s="1">
        <f>+COUNTIF(F$3:$F487,F487)</f>
        <v>106</v>
      </c>
      <c r="K487" s="132" t="str">
        <f t="shared" si="38"/>
        <v>평일</v>
      </c>
    </row>
    <row r="488" spans="1:11" ht="21.75" customHeight="1" x14ac:dyDescent="0.25">
      <c r="A488" s="2">
        <f t="shared" si="35"/>
        <v>2022</v>
      </c>
      <c r="B488" s="2">
        <f t="shared" si="36"/>
        <v>2</v>
      </c>
      <c r="C488" s="2" t="str">
        <f t="shared" si="37"/>
        <v>토</v>
      </c>
      <c r="D488" s="3">
        <v>44597</v>
      </c>
      <c r="E488" s="7">
        <v>0</v>
      </c>
      <c r="F488" s="2">
        <v>0</v>
      </c>
      <c r="I488" s="1">
        <f>+COUNTIF(F$3:$F488,F488)</f>
        <v>107</v>
      </c>
      <c r="K488" s="132" t="str">
        <f t="shared" si="38"/>
        <v>주말</v>
      </c>
    </row>
    <row r="489" spans="1:11" ht="21.75" customHeight="1" x14ac:dyDescent="0.25">
      <c r="A489" s="2">
        <f t="shared" si="35"/>
        <v>2022</v>
      </c>
      <c r="B489" s="2">
        <f t="shared" si="36"/>
        <v>2</v>
      </c>
      <c r="C489" s="2" t="str">
        <f t="shared" si="37"/>
        <v>일</v>
      </c>
      <c r="D489" s="3">
        <v>44598</v>
      </c>
      <c r="E489" s="7">
        <v>0</v>
      </c>
      <c r="F489" s="2">
        <v>0</v>
      </c>
      <c r="I489" s="1">
        <f>+COUNTIF(F$3:$F489,F489)</f>
        <v>108</v>
      </c>
      <c r="K489" s="132" t="str">
        <f t="shared" si="38"/>
        <v>주말</v>
      </c>
    </row>
    <row r="490" spans="1:11" ht="21.75" customHeight="1" x14ac:dyDescent="0.25">
      <c r="A490" s="2">
        <f t="shared" si="35"/>
        <v>2022</v>
      </c>
      <c r="B490" s="2">
        <f t="shared" si="36"/>
        <v>2</v>
      </c>
      <c r="C490" s="2" t="str">
        <f t="shared" si="37"/>
        <v>월</v>
      </c>
      <c r="D490" s="3">
        <v>44599</v>
      </c>
      <c r="E490" s="7">
        <v>0</v>
      </c>
      <c r="F490" s="2">
        <v>0</v>
      </c>
      <c r="I490" s="1">
        <f>+COUNTIF(F$3:$F490,F490)</f>
        <v>109</v>
      </c>
      <c r="K490" s="132" t="str">
        <f t="shared" si="38"/>
        <v>평일</v>
      </c>
    </row>
    <row r="491" spans="1:11" ht="21.75" customHeight="1" x14ac:dyDescent="0.25">
      <c r="A491" s="2">
        <f t="shared" si="35"/>
        <v>2022</v>
      </c>
      <c r="B491" s="2">
        <f t="shared" si="36"/>
        <v>2</v>
      </c>
      <c r="C491" s="2" t="str">
        <f t="shared" si="37"/>
        <v>화</v>
      </c>
      <c r="D491" s="3">
        <v>44600</v>
      </c>
      <c r="E491" s="7">
        <v>0</v>
      </c>
      <c r="F491" s="2">
        <v>0</v>
      </c>
      <c r="I491" s="1">
        <f>+COUNTIF(F$3:$F491,F491)</f>
        <v>110</v>
      </c>
      <c r="K491" s="132" t="str">
        <f t="shared" si="38"/>
        <v>평일</v>
      </c>
    </row>
    <row r="492" spans="1:11" ht="21.75" customHeight="1" x14ac:dyDescent="0.25">
      <c r="A492" s="2">
        <f t="shared" si="35"/>
        <v>2022</v>
      </c>
      <c r="B492" s="2">
        <f t="shared" si="36"/>
        <v>2</v>
      </c>
      <c r="C492" s="2" t="str">
        <f t="shared" si="37"/>
        <v>수</v>
      </c>
      <c r="D492" s="3">
        <v>44601</v>
      </c>
      <c r="E492" s="7">
        <v>0</v>
      </c>
      <c r="F492" s="2">
        <v>0</v>
      </c>
      <c r="I492" s="1">
        <f>+COUNTIF(F$3:$F492,F492)</f>
        <v>111</v>
      </c>
      <c r="K492" s="132" t="str">
        <f t="shared" si="38"/>
        <v>평일</v>
      </c>
    </row>
    <row r="493" spans="1:11" ht="21.75" customHeight="1" x14ac:dyDescent="0.25">
      <c r="A493" s="2">
        <f t="shared" si="35"/>
        <v>2022</v>
      </c>
      <c r="B493" s="2">
        <f t="shared" si="36"/>
        <v>2</v>
      </c>
      <c r="C493" s="2" t="str">
        <f t="shared" si="37"/>
        <v>목</v>
      </c>
      <c r="D493" s="3">
        <v>44602</v>
      </c>
      <c r="E493" s="7">
        <v>0</v>
      </c>
      <c r="F493" s="2">
        <v>0</v>
      </c>
      <c r="I493" s="1">
        <f>+COUNTIF(F$3:$F493,F493)</f>
        <v>112</v>
      </c>
      <c r="K493" s="132" t="str">
        <f t="shared" si="38"/>
        <v>평일</v>
      </c>
    </row>
    <row r="494" spans="1:11" ht="21.75" customHeight="1" x14ac:dyDescent="0.25">
      <c r="A494" s="2">
        <f t="shared" si="35"/>
        <v>2022</v>
      </c>
      <c r="B494" s="2">
        <f t="shared" si="36"/>
        <v>2</v>
      </c>
      <c r="C494" s="2" t="str">
        <f t="shared" si="37"/>
        <v>금</v>
      </c>
      <c r="D494" s="3">
        <v>44603</v>
      </c>
      <c r="E494" s="7">
        <v>0</v>
      </c>
      <c r="F494" s="2">
        <v>0</v>
      </c>
      <c r="I494" s="1">
        <f>+COUNTIF(F$3:$F494,F494)</f>
        <v>113</v>
      </c>
      <c r="K494" s="132" t="str">
        <f t="shared" si="38"/>
        <v>평일</v>
      </c>
    </row>
    <row r="495" spans="1:11" ht="21.75" customHeight="1" x14ac:dyDescent="0.25">
      <c r="A495" s="2">
        <f t="shared" si="35"/>
        <v>2022</v>
      </c>
      <c r="B495" s="2">
        <f t="shared" si="36"/>
        <v>2</v>
      </c>
      <c r="C495" s="2" t="str">
        <f t="shared" si="37"/>
        <v>토</v>
      </c>
      <c r="D495" s="3">
        <v>44604</v>
      </c>
      <c r="E495" s="7">
        <v>0</v>
      </c>
      <c r="F495" s="2">
        <v>0</v>
      </c>
      <c r="I495" s="1">
        <f>+COUNTIF(F$3:$F495,F495)</f>
        <v>114</v>
      </c>
      <c r="K495" s="132" t="str">
        <f t="shared" si="38"/>
        <v>주말</v>
      </c>
    </row>
    <row r="496" spans="1:11" ht="21.75" customHeight="1" x14ac:dyDescent="0.25">
      <c r="A496" s="2">
        <f t="shared" si="35"/>
        <v>2022</v>
      </c>
      <c r="B496" s="2">
        <f t="shared" si="36"/>
        <v>2</v>
      </c>
      <c r="C496" s="2" t="str">
        <f t="shared" si="37"/>
        <v>일</v>
      </c>
      <c r="D496" s="3">
        <v>44605</v>
      </c>
      <c r="E496" s="7">
        <v>0</v>
      </c>
      <c r="F496" s="2">
        <v>0</v>
      </c>
      <c r="I496" s="1">
        <f>+COUNTIF(F$3:$F496,F496)</f>
        <v>115</v>
      </c>
      <c r="K496" s="132" t="str">
        <f t="shared" si="38"/>
        <v>주말</v>
      </c>
    </row>
    <row r="497" spans="1:11" ht="21.75" customHeight="1" x14ac:dyDescent="0.25">
      <c r="A497" s="2">
        <f t="shared" si="35"/>
        <v>2022</v>
      </c>
      <c r="B497" s="2">
        <f t="shared" si="36"/>
        <v>2</v>
      </c>
      <c r="C497" s="2" t="str">
        <f t="shared" si="37"/>
        <v>월</v>
      </c>
      <c r="D497" s="3">
        <v>44606</v>
      </c>
      <c r="E497" s="7">
        <v>0</v>
      </c>
      <c r="F497" s="2">
        <v>0</v>
      </c>
      <c r="I497" s="1">
        <f>+COUNTIF(F$3:$F497,F497)</f>
        <v>116</v>
      </c>
      <c r="K497" s="132" t="str">
        <f t="shared" si="38"/>
        <v>평일</v>
      </c>
    </row>
    <row r="498" spans="1:11" ht="21.75" customHeight="1" x14ac:dyDescent="0.25">
      <c r="A498" s="2">
        <f t="shared" si="35"/>
        <v>2022</v>
      </c>
      <c r="B498" s="2">
        <f t="shared" si="36"/>
        <v>2</v>
      </c>
      <c r="C498" s="2" t="str">
        <f t="shared" si="37"/>
        <v>화</v>
      </c>
      <c r="D498" s="3">
        <v>44607</v>
      </c>
      <c r="E498" s="7">
        <v>0</v>
      </c>
      <c r="F498" s="2">
        <v>0</v>
      </c>
      <c r="I498" s="1">
        <f>+COUNTIF(F$3:$F498,F498)</f>
        <v>117</v>
      </c>
      <c r="K498" s="132" t="str">
        <f t="shared" si="38"/>
        <v>평일</v>
      </c>
    </row>
    <row r="499" spans="1:11" ht="21.75" customHeight="1" x14ac:dyDescent="0.25">
      <c r="A499" s="2">
        <f t="shared" si="35"/>
        <v>2022</v>
      </c>
      <c r="B499" s="2">
        <f t="shared" si="36"/>
        <v>2</v>
      </c>
      <c r="C499" s="2" t="str">
        <f t="shared" si="37"/>
        <v>수</v>
      </c>
      <c r="D499" s="3">
        <v>44608</v>
      </c>
      <c r="E499" s="7">
        <v>0</v>
      </c>
      <c r="F499" s="2">
        <v>0</v>
      </c>
      <c r="I499" s="1">
        <f>+COUNTIF(F$3:$F499,F499)</f>
        <v>118</v>
      </c>
      <c r="K499" s="132" t="str">
        <f t="shared" si="38"/>
        <v>평일</v>
      </c>
    </row>
    <row r="500" spans="1:11" ht="21.75" customHeight="1" x14ac:dyDescent="0.25">
      <c r="A500" s="2">
        <f t="shared" si="35"/>
        <v>2022</v>
      </c>
      <c r="B500" s="2">
        <f t="shared" si="36"/>
        <v>2</v>
      </c>
      <c r="C500" s="2" t="str">
        <f t="shared" si="37"/>
        <v>목</v>
      </c>
      <c r="D500" s="3">
        <v>44609</v>
      </c>
      <c r="E500" s="7">
        <v>0</v>
      </c>
      <c r="F500" s="2">
        <v>0</v>
      </c>
      <c r="I500" s="1">
        <f>+COUNTIF(F$3:$F500,F500)</f>
        <v>119</v>
      </c>
      <c r="K500" s="132" t="str">
        <f t="shared" si="38"/>
        <v>평일</v>
      </c>
    </row>
    <row r="501" spans="1:11" ht="21.75" customHeight="1" x14ac:dyDescent="0.25">
      <c r="A501" s="2">
        <f t="shared" si="35"/>
        <v>2022</v>
      </c>
      <c r="B501" s="2">
        <f t="shared" si="36"/>
        <v>2</v>
      </c>
      <c r="C501" s="2" t="str">
        <f t="shared" si="37"/>
        <v>금</v>
      </c>
      <c r="D501" s="3">
        <v>44610</v>
      </c>
      <c r="E501" s="7">
        <v>0</v>
      </c>
      <c r="F501" s="2">
        <v>0</v>
      </c>
      <c r="I501" s="1">
        <f>+COUNTIF(F$3:$F501,F501)</f>
        <v>120</v>
      </c>
      <c r="K501" s="132" t="str">
        <f t="shared" si="38"/>
        <v>평일</v>
      </c>
    </row>
    <row r="502" spans="1:11" ht="21.75" customHeight="1" x14ac:dyDescent="0.25">
      <c r="A502" s="2">
        <f t="shared" si="35"/>
        <v>2022</v>
      </c>
      <c r="B502" s="2">
        <f t="shared" si="36"/>
        <v>2</v>
      </c>
      <c r="C502" s="2" t="str">
        <f t="shared" si="37"/>
        <v>토</v>
      </c>
      <c r="D502" s="3">
        <v>44611</v>
      </c>
      <c r="E502" s="7">
        <v>0</v>
      </c>
      <c r="F502" s="2">
        <v>0</v>
      </c>
      <c r="I502" s="1">
        <f>+COUNTIF(F$3:$F502,F502)</f>
        <v>121</v>
      </c>
      <c r="K502" s="132" t="str">
        <f t="shared" si="38"/>
        <v>주말</v>
      </c>
    </row>
    <row r="503" spans="1:11" ht="21.75" customHeight="1" x14ac:dyDescent="0.25">
      <c r="A503" s="2">
        <f t="shared" si="35"/>
        <v>2022</v>
      </c>
      <c r="B503" s="2">
        <f t="shared" si="36"/>
        <v>2</v>
      </c>
      <c r="C503" s="2" t="str">
        <f t="shared" si="37"/>
        <v>일</v>
      </c>
      <c r="D503" s="3">
        <v>44612</v>
      </c>
      <c r="E503" s="7">
        <v>0</v>
      </c>
      <c r="F503" s="2">
        <v>0</v>
      </c>
      <c r="I503" s="1">
        <f>+COUNTIF(F$3:$F503,F503)</f>
        <v>122</v>
      </c>
      <c r="K503" s="132" t="str">
        <f t="shared" si="38"/>
        <v>주말</v>
      </c>
    </row>
    <row r="504" spans="1:11" ht="21.75" customHeight="1" x14ac:dyDescent="0.25">
      <c r="A504" s="2">
        <f t="shared" si="35"/>
        <v>2022</v>
      </c>
      <c r="B504" s="2">
        <f t="shared" si="36"/>
        <v>2</v>
      </c>
      <c r="C504" s="2" t="str">
        <f t="shared" si="37"/>
        <v>월</v>
      </c>
      <c r="D504" s="3">
        <v>44613</v>
      </c>
      <c r="E504" s="7">
        <v>0</v>
      </c>
      <c r="F504" s="2">
        <v>0</v>
      </c>
      <c r="I504" s="1">
        <f>+COUNTIF(F$3:$F504,F504)</f>
        <v>123</v>
      </c>
      <c r="K504" s="132" t="str">
        <f t="shared" si="38"/>
        <v>평일</v>
      </c>
    </row>
    <row r="505" spans="1:11" ht="21.75" customHeight="1" x14ac:dyDescent="0.25">
      <c r="A505" s="2">
        <f t="shared" si="35"/>
        <v>2022</v>
      </c>
      <c r="B505" s="2">
        <f t="shared" si="36"/>
        <v>2</v>
      </c>
      <c r="C505" s="2" t="str">
        <f t="shared" si="37"/>
        <v>화</v>
      </c>
      <c r="D505" s="3">
        <v>44614</v>
      </c>
      <c r="E505" s="7">
        <v>0</v>
      </c>
      <c r="F505" s="2">
        <v>0</v>
      </c>
      <c r="I505" s="1">
        <f>+COUNTIF(F$3:$F505,F505)</f>
        <v>124</v>
      </c>
      <c r="K505" s="132" t="str">
        <f t="shared" si="38"/>
        <v>평일</v>
      </c>
    </row>
    <row r="506" spans="1:11" ht="21.75" customHeight="1" x14ac:dyDescent="0.25">
      <c r="A506" s="2">
        <f t="shared" si="35"/>
        <v>2022</v>
      </c>
      <c r="B506" s="2">
        <f t="shared" si="36"/>
        <v>2</v>
      </c>
      <c r="C506" s="2" t="str">
        <f t="shared" si="37"/>
        <v>수</v>
      </c>
      <c r="D506" s="3">
        <v>44615</v>
      </c>
      <c r="E506" s="7">
        <v>0</v>
      </c>
      <c r="F506" s="2">
        <v>0</v>
      </c>
      <c r="I506" s="1">
        <f>+COUNTIF(F$3:$F506,F506)</f>
        <v>125</v>
      </c>
      <c r="K506" s="132" t="str">
        <f t="shared" si="38"/>
        <v>평일</v>
      </c>
    </row>
    <row r="507" spans="1:11" ht="21.75" customHeight="1" x14ac:dyDescent="0.25">
      <c r="A507" s="2">
        <f t="shared" si="35"/>
        <v>2022</v>
      </c>
      <c r="B507" s="2">
        <f t="shared" si="36"/>
        <v>2</v>
      </c>
      <c r="C507" s="2" t="str">
        <f t="shared" si="37"/>
        <v>목</v>
      </c>
      <c r="D507" s="3">
        <v>44616</v>
      </c>
      <c r="E507" s="7">
        <v>0</v>
      </c>
      <c r="F507" s="2">
        <v>0</v>
      </c>
      <c r="I507" s="1">
        <f>+COUNTIF(F$3:$F507,F507)</f>
        <v>126</v>
      </c>
      <c r="K507" s="132" t="str">
        <f t="shared" si="38"/>
        <v>평일</v>
      </c>
    </row>
    <row r="508" spans="1:11" ht="21.75" customHeight="1" x14ac:dyDescent="0.25">
      <c r="A508" s="2">
        <f t="shared" si="35"/>
        <v>2022</v>
      </c>
      <c r="B508" s="2">
        <f t="shared" si="36"/>
        <v>2</v>
      </c>
      <c r="C508" s="2" t="str">
        <f t="shared" si="37"/>
        <v>금</v>
      </c>
      <c r="D508" s="3">
        <v>44617</v>
      </c>
      <c r="E508" s="7">
        <v>0</v>
      </c>
      <c r="F508" s="2">
        <v>0</v>
      </c>
      <c r="I508" s="1">
        <f>+COUNTIF(F$3:$F508,F508)</f>
        <v>127</v>
      </c>
      <c r="K508" s="132" t="str">
        <f t="shared" si="38"/>
        <v>평일</v>
      </c>
    </row>
    <row r="509" spans="1:11" ht="21.75" customHeight="1" x14ac:dyDescent="0.25">
      <c r="A509" s="2">
        <f t="shared" si="35"/>
        <v>2022</v>
      </c>
      <c r="B509" s="2">
        <f t="shared" si="36"/>
        <v>2</v>
      </c>
      <c r="C509" s="2" t="str">
        <f t="shared" si="37"/>
        <v>토</v>
      </c>
      <c r="D509" s="3">
        <v>44618</v>
      </c>
      <c r="E509" s="7">
        <v>0</v>
      </c>
      <c r="F509" s="2">
        <v>0</v>
      </c>
      <c r="I509" s="1">
        <f>+COUNTIF(F$3:$F509,F509)</f>
        <v>128</v>
      </c>
      <c r="K509" s="132" t="str">
        <f t="shared" si="38"/>
        <v>주말</v>
      </c>
    </row>
    <row r="510" spans="1:11" ht="21.75" customHeight="1" x14ac:dyDescent="0.25">
      <c r="A510" s="2">
        <f t="shared" si="35"/>
        <v>2022</v>
      </c>
      <c r="B510" s="2">
        <f t="shared" si="36"/>
        <v>2</v>
      </c>
      <c r="C510" s="2" t="str">
        <f t="shared" si="37"/>
        <v>일</v>
      </c>
      <c r="D510" s="3">
        <v>44619</v>
      </c>
      <c r="E510" s="7">
        <v>0</v>
      </c>
      <c r="F510" s="2">
        <v>0</v>
      </c>
      <c r="I510" s="1">
        <f>+COUNTIF(F$3:$F510,F510)</f>
        <v>129</v>
      </c>
      <c r="K510" s="132" t="str">
        <f t="shared" si="38"/>
        <v>주말</v>
      </c>
    </row>
    <row r="511" spans="1:11" ht="21.75" customHeight="1" x14ac:dyDescent="0.25">
      <c r="A511" s="2">
        <f t="shared" si="35"/>
        <v>2022</v>
      </c>
      <c r="B511" s="2">
        <f t="shared" si="36"/>
        <v>2</v>
      </c>
      <c r="C511" s="2" t="str">
        <f t="shared" si="37"/>
        <v>월</v>
      </c>
      <c r="D511" s="3">
        <v>44620</v>
      </c>
      <c r="E511" s="7">
        <v>285</v>
      </c>
      <c r="F511" s="2" t="s">
        <v>10</v>
      </c>
      <c r="G511" s="1">
        <v>31</v>
      </c>
      <c r="H511" s="6">
        <f>+E511-G511</f>
        <v>254</v>
      </c>
      <c r="I511" s="1">
        <f>+COUNTIF(F$3:$F511,F511)</f>
        <v>1</v>
      </c>
      <c r="K511" s="132" t="str">
        <f t="shared" si="38"/>
        <v>평일</v>
      </c>
    </row>
    <row r="512" spans="1:11" ht="21.75" customHeight="1" x14ac:dyDescent="0.25">
      <c r="A512" s="2">
        <f t="shared" si="35"/>
        <v>2022</v>
      </c>
      <c r="B512" s="2">
        <f t="shared" si="36"/>
        <v>3</v>
      </c>
      <c r="C512" s="2" t="str">
        <f t="shared" si="37"/>
        <v>화</v>
      </c>
      <c r="D512" s="3">
        <v>44621</v>
      </c>
      <c r="E512" s="7">
        <v>356</v>
      </c>
      <c r="F512" s="2" t="s">
        <v>10</v>
      </c>
      <c r="G512" s="1">
        <v>19</v>
      </c>
      <c r="H512" s="6">
        <f t="shared" ref="H512:H575" si="39">+E512-G512</f>
        <v>337</v>
      </c>
      <c r="I512" s="1">
        <f>+COUNTIF(F$3:$F512,F512)</f>
        <v>2</v>
      </c>
      <c r="K512" s="132" t="str">
        <f t="shared" si="38"/>
        <v>평일</v>
      </c>
    </row>
    <row r="513" spans="1:11" ht="21.75" customHeight="1" x14ac:dyDescent="0.25">
      <c r="A513" s="2">
        <f t="shared" si="35"/>
        <v>2022</v>
      </c>
      <c r="B513" s="2">
        <f t="shared" si="36"/>
        <v>3</v>
      </c>
      <c r="C513" s="2" t="str">
        <f t="shared" si="37"/>
        <v>수</v>
      </c>
      <c r="D513" s="3">
        <v>44622</v>
      </c>
      <c r="E513" s="7">
        <v>130</v>
      </c>
      <c r="F513" s="2" t="s">
        <v>10</v>
      </c>
      <c r="G513" s="1">
        <v>26</v>
      </c>
      <c r="H513" s="6">
        <f t="shared" si="39"/>
        <v>104</v>
      </c>
      <c r="I513" s="1">
        <f>+COUNTIF(F$3:$F513,F513)</f>
        <v>3</v>
      </c>
      <c r="K513" s="132" t="str">
        <f t="shared" si="38"/>
        <v>평일</v>
      </c>
    </row>
    <row r="514" spans="1:11" ht="21.75" customHeight="1" x14ac:dyDescent="0.25">
      <c r="A514" s="2">
        <f t="shared" si="35"/>
        <v>2022</v>
      </c>
      <c r="B514" s="2">
        <f t="shared" si="36"/>
        <v>3</v>
      </c>
      <c r="C514" s="2" t="str">
        <f t="shared" si="37"/>
        <v>목</v>
      </c>
      <c r="D514" s="3">
        <v>44623</v>
      </c>
      <c r="E514" s="7">
        <v>107</v>
      </c>
      <c r="F514" s="2" t="s">
        <v>10</v>
      </c>
      <c r="G514" s="1">
        <v>13</v>
      </c>
      <c r="H514" s="6">
        <f t="shared" si="39"/>
        <v>94</v>
      </c>
      <c r="I514" s="1">
        <f>+COUNTIF(F$3:$F514,F514)</f>
        <v>4</v>
      </c>
      <c r="K514" s="132" t="str">
        <f t="shared" si="38"/>
        <v>평일</v>
      </c>
    </row>
    <row r="515" spans="1:11" ht="21.75" customHeight="1" x14ac:dyDescent="0.25">
      <c r="A515" s="2">
        <f t="shared" si="35"/>
        <v>2022</v>
      </c>
      <c r="B515" s="2">
        <f t="shared" si="36"/>
        <v>3</v>
      </c>
      <c r="C515" s="2" t="str">
        <f t="shared" si="37"/>
        <v>금</v>
      </c>
      <c r="D515" s="3">
        <v>44624</v>
      </c>
      <c r="E515" s="7">
        <v>143</v>
      </c>
      <c r="F515" s="2" t="s">
        <v>10</v>
      </c>
      <c r="G515" s="1">
        <v>25</v>
      </c>
      <c r="H515" s="6">
        <f t="shared" si="39"/>
        <v>118</v>
      </c>
      <c r="I515" s="1">
        <f>+COUNTIF(F$3:$F515,F515)</f>
        <v>5</v>
      </c>
      <c r="K515" s="132" t="str">
        <f t="shared" si="38"/>
        <v>평일</v>
      </c>
    </row>
    <row r="516" spans="1:11" ht="21.75" customHeight="1" x14ac:dyDescent="0.25">
      <c r="A516" s="2">
        <f t="shared" ref="A516:A579" si="40">+YEAR(D516)</f>
        <v>2022</v>
      </c>
      <c r="B516" s="2">
        <f t="shared" ref="B516:B579" si="41">+MONTH(D516)</f>
        <v>3</v>
      </c>
      <c r="C516" s="2" t="str">
        <f t="shared" ref="C516:C579" si="42">+TEXT(D516,"aaa")</f>
        <v>토</v>
      </c>
      <c r="D516" s="3">
        <v>44625</v>
      </c>
      <c r="E516" s="7">
        <v>509</v>
      </c>
      <c r="F516" s="2" t="s">
        <v>10</v>
      </c>
      <c r="G516" s="1">
        <v>35</v>
      </c>
      <c r="H516" s="6">
        <f t="shared" si="39"/>
        <v>474</v>
      </c>
      <c r="I516" s="1">
        <f>+COUNTIF(F$3:$F516,F516)</f>
        <v>6</v>
      </c>
      <c r="K516" s="132" t="str">
        <f t="shared" ref="K516:K579" si="43">+IF(OR(C516="토",C516="일"),"주말","평일")</f>
        <v>주말</v>
      </c>
    </row>
    <row r="517" spans="1:11" ht="21.75" customHeight="1" x14ac:dyDescent="0.25">
      <c r="A517" s="2">
        <f t="shared" si="40"/>
        <v>2022</v>
      </c>
      <c r="B517" s="2">
        <f t="shared" si="41"/>
        <v>3</v>
      </c>
      <c r="C517" s="2" t="str">
        <f t="shared" si="42"/>
        <v>일</v>
      </c>
      <c r="D517" s="3">
        <v>44626</v>
      </c>
      <c r="E517" s="7">
        <v>390</v>
      </c>
      <c r="F517" s="2" t="s">
        <v>10</v>
      </c>
      <c r="G517" s="1">
        <v>41</v>
      </c>
      <c r="H517" s="6">
        <f t="shared" si="39"/>
        <v>349</v>
      </c>
      <c r="I517" s="1">
        <f>+COUNTIF(F$3:$F517,F517)</f>
        <v>7</v>
      </c>
      <c r="K517" s="132" t="str">
        <f t="shared" si="43"/>
        <v>주말</v>
      </c>
    </row>
    <row r="518" spans="1:11" ht="21.75" customHeight="1" x14ac:dyDescent="0.25">
      <c r="A518" s="2">
        <f t="shared" si="40"/>
        <v>2022</v>
      </c>
      <c r="B518" s="2">
        <f t="shared" si="41"/>
        <v>3</v>
      </c>
      <c r="C518" s="2" t="str">
        <f t="shared" si="42"/>
        <v>월</v>
      </c>
      <c r="D518" s="3">
        <v>44627</v>
      </c>
      <c r="E518" s="7">
        <v>0</v>
      </c>
      <c r="F518" s="2" t="s">
        <v>10</v>
      </c>
      <c r="G518" s="1">
        <v>0</v>
      </c>
      <c r="H518" s="6">
        <f t="shared" si="39"/>
        <v>0</v>
      </c>
      <c r="I518" s="1">
        <f>+COUNTIF(F$3:$F518,F518)</f>
        <v>8</v>
      </c>
      <c r="K518" s="132" t="str">
        <f t="shared" si="43"/>
        <v>평일</v>
      </c>
    </row>
    <row r="519" spans="1:11" ht="21.75" customHeight="1" x14ac:dyDescent="0.25">
      <c r="A519" s="2">
        <f t="shared" si="40"/>
        <v>2022</v>
      </c>
      <c r="B519" s="2">
        <f t="shared" si="41"/>
        <v>3</v>
      </c>
      <c r="C519" s="2" t="str">
        <f t="shared" si="42"/>
        <v>화</v>
      </c>
      <c r="D519" s="3">
        <v>44628</v>
      </c>
      <c r="E519" s="7">
        <v>129</v>
      </c>
      <c r="F519" s="2" t="s">
        <v>10</v>
      </c>
      <c r="G519" s="1">
        <v>3</v>
      </c>
      <c r="H519" s="6">
        <f t="shared" si="39"/>
        <v>126</v>
      </c>
      <c r="I519" s="1">
        <f>+COUNTIF(F$3:$F519,F519)</f>
        <v>9</v>
      </c>
      <c r="K519" s="132" t="str">
        <f t="shared" si="43"/>
        <v>평일</v>
      </c>
    </row>
    <row r="520" spans="1:11" ht="21.75" customHeight="1" x14ac:dyDescent="0.25">
      <c r="A520" s="2">
        <f t="shared" si="40"/>
        <v>2022</v>
      </c>
      <c r="B520" s="2">
        <f t="shared" si="41"/>
        <v>3</v>
      </c>
      <c r="C520" s="2" t="str">
        <f t="shared" si="42"/>
        <v>수</v>
      </c>
      <c r="D520" s="3">
        <v>44629</v>
      </c>
      <c r="E520" s="7">
        <v>469</v>
      </c>
      <c r="F520" s="2" t="s">
        <v>10</v>
      </c>
      <c r="G520" s="1">
        <v>43</v>
      </c>
      <c r="H520" s="6">
        <f t="shared" si="39"/>
        <v>426</v>
      </c>
      <c r="I520" s="1">
        <f>+COUNTIF(F$3:$F520,F520)</f>
        <v>10</v>
      </c>
      <c r="K520" s="132" t="str">
        <f t="shared" si="43"/>
        <v>평일</v>
      </c>
    </row>
    <row r="521" spans="1:11" ht="21.75" customHeight="1" x14ac:dyDescent="0.25">
      <c r="A521" s="2">
        <f t="shared" si="40"/>
        <v>2022</v>
      </c>
      <c r="B521" s="2">
        <f t="shared" si="41"/>
        <v>3</v>
      </c>
      <c r="C521" s="2" t="str">
        <f t="shared" si="42"/>
        <v>목</v>
      </c>
      <c r="D521" s="3">
        <v>44630</v>
      </c>
      <c r="E521" s="7">
        <v>135</v>
      </c>
      <c r="F521" s="2" t="s">
        <v>10</v>
      </c>
      <c r="G521" s="1">
        <v>8</v>
      </c>
      <c r="H521" s="6">
        <f t="shared" si="39"/>
        <v>127</v>
      </c>
      <c r="I521" s="1">
        <f>+COUNTIF(F$3:$F521,F521)</f>
        <v>11</v>
      </c>
      <c r="K521" s="132" t="str">
        <f t="shared" si="43"/>
        <v>평일</v>
      </c>
    </row>
    <row r="522" spans="1:11" ht="21.75" customHeight="1" x14ac:dyDescent="0.25">
      <c r="A522" s="2">
        <f t="shared" si="40"/>
        <v>2022</v>
      </c>
      <c r="B522" s="2">
        <f t="shared" si="41"/>
        <v>3</v>
      </c>
      <c r="C522" s="2" t="str">
        <f t="shared" si="42"/>
        <v>금</v>
      </c>
      <c r="D522" s="3">
        <v>44631</v>
      </c>
      <c r="E522" s="7">
        <v>181</v>
      </c>
      <c r="F522" s="2" t="s">
        <v>10</v>
      </c>
      <c r="G522" s="1">
        <v>20</v>
      </c>
      <c r="H522" s="6">
        <f t="shared" si="39"/>
        <v>161</v>
      </c>
      <c r="I522" s="1">
        <f>+COUNTIF(F$3:$F522,F522)</f>
        <v>12</v>
      </c>
      <c r="K522" s="132" t="str">
        <f t="shared" si="43"/>
        <v>평일</v>
      </c>
    </row>
    <row r="523" spans="1:11" ht="21.75" customHeight="1" x14ac:dyDescent="0.25">
      <c r="A523" s="2">
        <f t="shared" si="40"/>
        <v>2022</v>
      </c>
      <c r="B523" s="2">
        <f t="shared" si="41"/>
        <v>3</v>
      </c>
      <c r="C523" s="2" t="str">
        <f t="shared" si="42"/>
        <v>토</v>
      </c>
      <c r="D523" s="3">
        <v>44632</v>
      </c>
      <c r="E523" s="7">
        <v>569</v>
      </c>
      <c r="F523" s="2" t="s">
        <v>10</v>
      </c>
      <c r="G523" s="1">
        <v>39</v>
      </c>
      <c r="H523" s="6">
        <f t="shared" si="39"/>
        <v>530</v>
      </c>
      <c r="I523" s="1">
        <f>+COUNTIF(F$3:$F523,F523)</f>
        <v>13</v>
      </c>
      <c r="K523" s="132" t="str">
        <f t="shared" si="43"/>
        <v>주말</v>
      </c>
    </row>
    <row r="524" spans="1:11" ht="21.75" customHeight="1" x14ac:dyDescent="0.25">
      <c r="A524" s="2">
        <f t="shared" si="40"/>
        <v>2022</v>
      </c>
      <c r="B524" s="2">
        <f t="shared" si="41"/>
        <v>3</v>
      </c>
      <c r="C524" s="2" t="str">
        <f t="shared" si="42"/>
        <v>일</v>
      </c>
      <c r="D524" s="3">
        <v>44633</v>
      </c>
      <c r="E524" s="7">
        <v>470</v>
      </c>
      <c r="F524" s="2" t="s">
        <v>10</v>
      </c>
      <c r="G524" s="1">
        <v>34</v>
      </c>
      <c r="H524" s="6">
        <f t="shared" si="39"/>
        <v>436</v>
      </c>
      <c r="I524" s="1">
        <f>+COUNTIF(F$3:$F524,F524)</f>
        <v>14</v>
      </c>
      <c r="K524" s="132" t="str">
        <f t="shared" si="43"/>
        <v>주말</v>
      </c>
    </row>
    <row r="525" spans="1:11" ht="21.75" customHeight="1" x14ac:dyDescent="0.25">
      <c r="A525" s="2">
        <f t="shared" si="40"/>
        <v>2022</v>
      </c>
      <c r="B525" s="2">
        <f t="shared" si="41"/>
        <v>3</v>
      </c>
      <c r="C525" s="2" t="str">
        <f t="shared" si="42"/>
        <v>월</v>
      </c>
      <c r="D525" s="3">
        <v>44634</v>
      </c>
      <c r="E525" s="7">
        <v>131</v>
      </c>
      <c r="F525" s="2" t="s">
        <v>10</v>
      </c>
      <c r="G525" s="1">
        <v>5</v>
      </c>
      <c r="H525" s="6">
        <f t="shared" si="39"/>
        <v>126</v>
      </c>
      <c r="I525" s="1">
        <f>+COUNTIF(F$3:$F525,F525)</f>
        <v>15</v>
      </c>
      <c r="K525" s="132" t="str">
        <f t="shared" si="43"/>
        <v>평일</v>
      </c>
    </row>
    <row r="526" spans="1:11" ht="21.75" customHeight="1" x14ac:dyDescent="0.25">
      <c r="A526" s="2">
        <f t="shared" si="40"/>
        <v>2022</v>
      </c>
      <c r="B526" s="2">
        <f t="shared" si="41"/>
        <v>3</v>
      </c>
      <c r="C526" s="2" t="str">
        <f t="shared" si="42"/>
        <v>화</v>
      </c>
      <c r="D526" s="3">
        <v>44635</v>
      </c>
      <c r="E526" s="7">
        <v>137</v>
      </c>
      <c r="F526" s="2" t="s">
        <v>10</v>
      </c>
      <c r="G526" s="1">
        <v>14</v>
      </c>
      <c r="H526" s="6">
        <f t="shared" si="39"/>
        <v>123</v>
      </c>
      <c r="I526" s="1">
        <f>+COUNTIF(F$3:$F526,F526)</f>
        <v>16</v>
      </c>
      <c r="K526" s="132" t="str">
        <f t="shared" si="43"/>
        <v>평일</v>
      </c>
    </row>
    <row r="527" spans="1:11" ht="21.75" customHeight="1" x14ac:dyDescent="0.25">
      <c r="A527" s="2">
        <f t="shared" si="40"/>
        <v>2022</v>
      </c>
      <c r="B527" s="2">
        <f t="shared" si="41"/>
        <v>3</v>
      </c>
      <c r="C527" s="2" t="str">
        <f t="shared" si="42"/>
        <v>수</v>
      </c>
      <c r="D527" s="3">
        <v>44636</v>
      </c>
      <c r="E527" s="7">
        <v>174</v>
      </c>
      <c r="F527" s="2" t="s">
        <v>10</v>
      </c>
      <c r="G527" s="1">
        <v>6</v>
      </c>
      <c r="H527" s="6">
        <f t="shared" si="39"/>
        <v>168</v>
      </c>
      <c r="I527" s="1">
        <f>+COUNTIF(F$3:$F527,F527)</f>
        <v>17</v>
      </c>
      <c r="K527" s="132" t="str">
        <f t="shared" si="43"/>
        <v>평일</v>
      </c>
    </row>
    <row r="528" spans="1:11" ht="21.75" customHeight="1" x14ac:dyDescent="0.25">
      <c r="A528" s="2">
        <f t="shared" si="40"/>
        <v>2022</v>
      </c>
      <c r="B528" s="2">
        <f t="shared" si="41"/>
        <v>3</v>
      </c>
      <c r="C528" s="2" t="str">
        <f t="shared" si="42"/>
        <v>목</v>
      </c>
      <c r="D528" s="3">
        <v>44637</v>
      </c>
      <c r="E528" s="7">
        <v>119</v>
      </c>
      <c r="F528" s="2" t="s">
        <v>10</v>
      </c>
      <c r="G528" s="1">
        <v>7</v>
      </c>
      <c r="H528" s="6">
        <f t="shared" si="39"/>
        <v>112</v>
      </c>
      <c r="I528" s="1">
        <f>+COUNTIF(F$3:$F528,F528)</f>
        <v>18</v>
      </c>
      <c r="K528" s="132" t="str">
        <f t="shared" si="43"/>
        <v>평일</v>
      </c>
    </row>
    <row r="529" spans="1:15" ht="21.75" customHeight="1" x14ac:dyDescent="0.25">
      <c r="A529" s="2">
        <f t="shared" si="40"/>
        <v>2022</v>
      </c>
      <c r="B529" s="2">
        <f t="shared" si="41"/>
        <v>3</v>
      </c>
      <c r="C529" s="2" t="str">
        <f t="shared" si="42"/>
        <v>금</v>
      </c>
      <c r="D529" s="3">
        <v>44638</v>
      </c>
      <c r="E529" s="7">
        <v>230</v>
      </c>
      <c r="F529" s="2" t="s">
        <v>10</v>
      </c>
      <c r="G529" s="1">
        <v>11</v>
      </c>
      <c r="H529" s="6">
        <f t="shared" si="39"/>
        <v>219</v>
      </c>
      <c r="I529" s="1">
        <f>+COUNTIF(F$3:$F529,F529)</f>
        <v>19</v>
      </c>
      <c r="K529" s="132" t="str">
        <f t="shared" si="43"/>
        <v>평일</v>
      </c>
    </row>
    <row r="530" spans="1:15" ht="21.75" customHeight="1" x14ac:dyDescent="0.25">
      <c r="A530" s="2">
        <f t="shared" si="40"/>
        <v>2022</v>
      </c>
      <c r="B530" s="2">
        <f t="shared" si="41"/>
        <v>3</v>
      </c>
      <c r="C530" s="2" t="str">
        <f t="shared" si="42"/>
        <v>토</v>
      </c>
      <c r="D530" s="3">
        <v>44639</v>
      </c>
      <c r="E530" s="7">
        <v>661</v>
      </c>
      <c r="F530" s="2" t="s">
        <v>10</v>
      </c>
      <c r="G530" s="1">
        <v>99</v>
      </c>
      <c r="H530" s="6">
        <f t="shared" si="39"/>
        <v>562</v>
      </c>
      <c r="I530" s="1">
        <f>+COUNTIF(F$3:$F530,F530)</f>
        <v>20</v>
      </c>
      <c r="K530" s="132" t="str">
        <f t="shared" si="43"/>
        <v>주말</v>
      </c>
    </row>
    <row r="531" spans="1:15" ht="21.75" customHeight="1" x14ac:dyDescent="0.25">
      <c r="A531" s="2">
        <f t="shared" si="40"/>
        <v>2022</v>
      </c>
      <c r="B531" s="2">
        <f t="shared" si="41"/>
        <v>3</v>
      </c>
      <c r="C531" s="2" t="str">
        <f t="shared" si="42"/>
        <v>일</v>
      </c>
      <c r="D531" s="3">
        <v>44640</v>
      </c>
      <c r="E531" s="7">
        <v>559</v>
      </c>
      <c r="F531" s="2" t="s">
        <v>10</v>
      </c>
      <c r="G531" s="1">
        <v>49</v>
      </c>
      <c r="H531" s="6">
        <f t="shared" si="39"/>
        <v>510</v>
      </c>
      <c r="I531" s="1">
        <f>+COUNTIF(F$3:$F531,F531)</f>
        <v>21</v>
      </c>
      <c r="K531" s="132" t="str">
        <f t="shared" si="43"/>
        <v>주말</v>
      </c>
    </row>
    <row r="532" spans="1:15" ht="21.75" customHeight="1" x14ac:dyDescent="0.25">
      <c r="A532" s="2">
        <f t="shared" si="40"/>
        <v>2022</v>
      </c>
      <c r="B532" s="2">
        <f t="shared" si="41"/>
        <v>3</v>
      </c>
      <c r="C532" s="2" t="str">
        <f t="shared" si="42"/>
        <v>월</v>
      </c>
      <c r="D532" s="3">
        <v>44641</v>
      </c>
      <c r="E532" s="7">
        <v>202</v>
      </c>
      <c r="F532" s="2" t="s">
        <v>10</v>
      </c>
      <c r="G532" s="1">
        <v>17</v>
      </c>
      <c r="H532" s="6">
        <f t="shared" si="39"/>
        <v>185</v>
      </c>
      <c r="I532" s="1">
        <f>+COUNTIF(F$3:$F532,F532)</f>
        <v>22</v>
      </c>
      <c r="K532" s="132" t="str">
        <f t="shared" si="43"/>
        <v>평일</v>
      </c>
    </row>
    <row r="533" spans="1:15" ht="21.75" customHeight="1" x14ac:dyDescent="0.25">
      <c r="A533" s="2">
        <f t="shared" si="40"/>
        <v>2022</v>
      </c>
      <c r="B533" s="2">
        <f t="shared" si="41"/>
        <v>3</v>
      </c>
      <c r="C533" s="2" t="str">
        <f t="shared" si="42"/>
        <v>화</v>
      </c>
      <c r="D533" s="3">
        <v>44642</v>
      </c>
      <c r="E533" s="7">
        <v>184</v>
      </c>
      <c r="F533" s="2" t="s">
        <v>10</v>
      </c>
      <c r="G533" s="1">
        <v>10</v>
      </c>
      <c r="H533" s="6">
        <f t="shared" si="39"/>
        <v>174</v>
      </c>
      <c r="I533" s="1">
        <f>+COUNTIF(F$3:$F533,F533)</f>
        <v>23</v>
      </c>
      <c r="K533" s="132" t="str">
        <f t="shared" si="43"/>
        <v>평일</v>
      </c>
    </row>
    <row r="534" spans="1:15" ht="21.75" customHeight="1" x14ac:dyDescent="0.25">
      <c r="A534" s="2">
        <f t="shared" si="40"/>
        <v>2022</v>
      </c>
      <c r="B534" s="2">
        <f t="shared" si="41"/>
        <v>3</v>
      </c>
      <c r="C534" s="2" t="str">
        <f t="shared" si="42"/>
        <v>수</v>
      </c>
      <c r="D534" s="3">
        <v>44643</v>
      </c>
      <c r="E534" s="7">
        <v>128</v>
      </c>
      <c r="F534" s="2" t="s">
        <v>10</v>
      </c>
      <c r="G534" s="1">
        <v>13</v>
      </c>
      <c r="H534" s="6">
        <f t="shared" si="39"/>
        <v>115</v>
      </c>
      <c r="I534" s="1">
        <f>+COUNTIF(F$3:$F534,F534)</f>
        <v>24</v>
      </c>
      <c r="K534" s="132" t="str">
        <f t="shared" si="43"/>
        <v>평일</v>
      </c>
    </row>
    <row r="535" spans="1:15" ht="21.75" customHeight="1" x14ac:dyDescent="0.25">
      <c r="A535" s="2">
        <f t="shared" si="40"/>
        <v>2022</v>
      </c>
      <c r="B535" s="2">
        <f t="shared" si="41"/>
        <v>3</v>
      </c>
      <c r="C535" s="2" t="str">
        <f t="shared" si="42"/>
        <v>목</v>
      </c>
      <c r="D535" s="3">
        <v>44644</v>
      </c>
      <c r="E535" s="7">
        <v>160</v>
      </c>
      <c r="F535" s="2" t="s">
        <v>10</v>
      </c>
      <c r="G535" s="1">
        <v>15</v>
      </c>
      <c r="H535" s="6">
        <f t="shared" si="39"/>
        <v>145</v>
      </c>
      <c r="I535" s="1">
        <f>+COUNTIF(F$3:$F535,F535)</f>
        <v>25</v>
      </c>
      <c r="K535" s="132" t="str">
        <f t="shared" si="43"/>
        <v>평일</v>
      </c>
    </row>
    <row r="536" spans="1:15" ht="21.75" customHeight="1" x14ac:dyDescent="0.25">
      <c r="A536" s="2">
        <f t="shared" si="40"/>
        <v>2022</v>
      </c>
      <c r="B536" s="2">
        <f t="shared" si="41"/>
        <v>3</v>
      </c>
      <c r="C536" s="2" t="str">
        <f t="shared" si="42"/>
        <v>금</v>
      </c>
      <c r="D536" s="3">
        <v>44645</v>
      </c>
      <c r="E536" s="7">
        <v>203</v>
      </c>
      <c r="F536" s="2" t="s">
        <v>10</v>
      </c>
      <c r="G536" s="1">
        <v>19</v>
      </c>
      <c r="H536" s="6">
        <f t="shared" si="39"/>
        <v>184</v>
      </c>
      <c r="I536" s="1">
        <f>+COUNTIF(F$3:$F536,F536)</f>
        <v>26</v>
      </c>
      <c r="K536" s="132" t="str">
        <f t="shared" si="43"/>
        <v>평일</v>
      </c>
    </row>
    <row r="537" spans="1:15" ht="21.75" customHeight="1" x14ac:dyDescent="0.25">
      <c r="A537" s="2">
        <f t="shared" si="40"/>
        <v>2022</v>
      </c>
      <c r="B537" s="2">
        <f t="shared" si="41"/>
        <v>3</v>
      </c>
      <c r="C537" s="2" t="str">
        <f t="shared" si="42"/>
        <v>토</v>
      </c>
      <c r="D537" s="3">
        <v>44646</v>
      </c>
      <c r="E537" s="7">
        <v>841</v>
      </c>
      <c r="F537" s="2" t="s">
        <v>10</v>
      </c>
      <c r="G537" s="1">
        <v>78</v>
      </c>
      <c r="H537" s="6">
        <f t="shared" si="39"/>
        <v>763</v>
      </c>
      <c r="I537" s="1">
        <f>+COUNTIF(F$3:$F537,F537)</f>
        <v>27</v>
      </c>
      <c r="K537" s="132" t="str">
        <f t="shared" si="43"/>
        <v>주말</v>
      </c>
      <c r="O537"/>
    </row>
    <row r="538" spans="1:15" ht="21.75" customHeight="1" x14ac:dyDescent="0.25">
      <c r="A538" s="2">
        <f t="shared" si="40"/>
        <v>2022</v>
      </c>
      <c r="B538" s="2">
        <f t="shared" si="41"/>
        <v>3</v>
      </c>
      <c r="C538" s="2" t="str">
        <f t="shared" si="42"/>
        <v>일</v>
      </c>
      <c r="D538" s="3">
        <v>44647</v>
      </c>
      <c r="E538" s="7">
        <v>701</v>
      </c>
      <c r="F538" s="2" t="s">
        <v>10</v>
      </c>
      <c r="G538" s="1">
        <v>72</v>
      </c>
      <c r="H538" s="6">
        <f t="shared" si="39"/>
        <v>629</v>
      </c>
      <c r="I538" s="1">
        <f>+COUNTIF(F$3:$F538,F538)</f>
        <v>28</v>
      </c>
      <c r="K538" s="132" t="str">
        <f t="shared" si="43"/>
        <v>주말</v>
      </c>
    </row>
    <row r="539" spans="1:15" ht="21.75" customHeight="1" x14ac:dyDescent="0.25">
      <c r="A539" s="2">
        <f t="shared" si="40"/>
        <v>2022</v>
      </c>
      <c r="B539" s="2">
        <f t="shared" si="41"/>
        <v>3</v>
      </c>
      <c r="C539" s="2" t="str">
        <f t="shared" si="42"/>
        <v>월</v>
      </c>
      <c r="D539" s="3">
        <v>44648</v>
      </c>
      <c r="E539" s="7">
        <v>250</v>
      </c>
      <c r="F539" s="2" t="s">
        <v>10</v>
      </c>
      <c r="G539" s="1">
        <v>16</v>
      </c>
      <c r="H539" s="6">
        <f t="shared" si="39"/>
        <v>234</v>
      </c>
      <c r="I539" s="1">
        <f>+COUNTIF(F$3:$F539,F539)</f>
        <v>29</v>
      </c>
      <c r="K539" s="132" t="str">
        <f t="shared" si="43"/>
        <v>평일</v>
      </c>
    </row>
    <row r="540" spans="1:15" ht="21.75" customHeight="1" x14ac:dyDescent="0.25">
      <c r="A540" s="2">
        <f t="shared" si="40"/>
        <v>2022</v>
      </c>
      <c r="B540" s="2">
        <f t="shared" si="41"/>
        <v>3</v>
      </c>
      <c r="C540" s="2" t="str">
        <f t="shared" si="42"/>
        <v>화</v>
      </c>
      <c r="D540" s="3">
        <v>44649</v>
      </c>
      <c r="E540" s="7">
        <v>240</v>
      </c>
      <c r="F540" s="2" t="s">
        <v>10</v>
      </c>
      <c r="G540" s="1">
        <v>20</v>
      </c>
      <c r="H540" s="6">
        <f t="shared" si="39"/>
        <v>220</v>
      </c>
      <c r="I540" s="1">
        <f>+COUNTIF(F$3:$F540,F540)</f>
        <v>30</v>
      </c>
      <c r="K540" s="132" t="str">
        <f t="shared" si="43"/>
        <v>평일</v>
      </c>
    </row>
    <row r="541" spans="1:15" ht="21.75" customHeight="1" x14ac:dyDescent="0.25">
      <c r="A541" s="2">
        <f t="shared" si="40"/>
        <v>2022</v>
      </c>
      <c r="B541" s="2">
        <f t="shared" si="41"/>
        <v>3</v>
      </c>
      <c r="C541" s="2" t="str">
        <f t="shared" si="42"/>
        <v>수</v>
      </c>
      <c r="D541" s="3">
        <v>44650</v>
      </c>
      <c r="E541" s="7">
        <v>419</v>
      </c>
      <c r="F541" s="2" t="s">
        <v>10</v>
      </c>
      <c r="G541" s="1">
        <v>41</v>
      </c>
      <c r="H541" s="6">
        <f t="shared" si="39"/>
        <v>378</v>
      </c>
      <c r="I541" s="1">
        <f>+COUNTIF(F$3:$F541,F541)</f>
        <v>31</v>
      </c>
      <c r="K541" s="132" t="str">
        <f t="shared" si="43"/>
        <v>평일</v>
      </c>
    </row>
    <row r="542" spans="1:15" ht="21.75" customHeight="1" x14ac:dyDescent="0.25">
      <c r="A542" s="2">
        <f t="shared" si="40"/>
        <v>2022</v>
      </c>
      <c r="B542" s="2">
        <f t="shared" si="41"/>
        <v>3</v>
      </c>
      <c r="C542" s="2" t="str">
        <f t="shared" si="42"/>
        <v>목</v>
      </c>
      <c r="D542" s="3">
        <v>44651</v>
      </c>
      <c r="E542" s="7">
        <v>457</v>
      </c>
      <c r="F542" s="2" t="s">
        <v>10</v>
      </c>
      <c r="G542" s="1">
        <v>39</v>
      </c>
      <c r="H542" s="6">
        <f t="shared" si="39"/>
        <v>418</v>
      </c>
      <c r="I542" s="1">
        <f>+COUNTIF(F$3:$F542,F542)</f>
        <v>32</v>
      </c>
      <c r="K542" s="132" t="str">
        <f t="shared" si="43"/>
        <v>평일</v>
      </c>
    </row>
    <row r="543" spans="1:15" ht="21.75" customHeight="1" x14ac:dyDescent="0.25">
      <c r="A543" s="2">
        <f t="shared" si="40"/>
        <v>2022</v>
      </c>
      <c r="B543" s="2">
        <f t="shared" si="41"/>
        <v>4</v>
      </c>
      <c r="C543" s="2" t="str">
        <f t="shared" si="42"/>
        <v>금</v>
      </c>
      <c r="D543" s="3">
        <v>44652</v>
      </c>
      <c r="E543" s="7">
        <v>210</v>
      </c>
      <c r="F543" s="2" t="s">
        <v>10</v>
      </c>
      <c r="G543" s="1">
        <v>36</v>
      </c>
      <c r="H543" s="6">
        <f t="shared" si="39"/>
        <v>174</v>
      </c>
      <c r="I543" s="1">
        <f>+COUNTIF(F$3:$F543,F543)</f>
        <v>33</v>
      </c>
      <c r="K543" s="132" t="str">
        <f t="shared" si="43"/>
        <v>평일</v>
      </c>
    </row>
    <row r="544" spans="1:15" ht="21.75" customHeight="1" x14ac:dyDescent="0.25">
      <c r="A544" s="2">
        <f t="shared" si="40"/>
        <v>2022</v>
      </c>
      <c r="B544" s="2">
        <f t="shared" si="41"/>
        <v>4</v>
      </c>
      <c r="C544" s="2" t="str">
        <f t="shared" si="42"/>
        <v>토</v>
      </c>
      <c r="D544" s="3">
        <v>44653</v>
      </c>
      <c r="E544" s="7">
        <v>558</v>
      </c>
      <c r="F544" s="2" t="s">
        <v>10</v>
      </c>
      <c r="G544" s="1">
        <v>74</v>
      </c>
      <c r="H544" s="6">
        <f t="shared" si="39"/>
        <v>484</v>
      </c>
      <c r="I544" s="1">
        <f>+COUNTIF(F$3:$F544,F544)</f>
        <v>34</v>
      </c>
      <c r="K544" s="132" t="str">
        <f t="shared" si="43"/>
        <v>주말</v>
      </c>
    </row>
    <row r="545" spans="1:11" ht="21.75" customHeight="1" x14ac:dyDescent="0.25">
      <c r="A545" s="2">
        <f t="shared" si="40"/>
        <v>2022</v>
      </c>
      <c r="B545" s="2">
        <f t="shared" si="41"/>
        <v>4</v>
      </c>
      <c r="C545" s="2" t="str">
        <f t="shared" si="42"/>
        <v>일</v>
      </c>
      <c r="D545" s="3">
        <v>44654</v>
      </c>
      <c r="E545" s="7">
        <v>423</v>
      </c>
      <c r="F545" s="2" t="s">
        <v>10</v>
      </c>
      <c r="G545" s="1">
        <v>60</v>
      </c>
      <c r="H545" s="6">
        <f t="shared" si="39"/>
        <v>363</v>
      </c>
      <c r="I545" s="1">
        <f>+COUNTIF(F$3:$F545,F545)</f>
        <v>35</v>
      </c>
      <c r="K545" s="132" t="str">
        <f t="shared" si="43"/>
        <v>주말</v>
      </c>
    </row>
    <row r="546" spans="1:11" ht="21.75" customHeight="1" x14ac:dyDescent="0.25">
      <c r="A546" s="2">
        <f t="shared" si="40"/>
        <v>2022</v>
      </c>
      <c r="B546" s="2">
        <f t="shared" si="41"/>
        <v>4</v>
      </c>
      <c r="C546" s="2" t="str">
        <f t="shared" si="42"/>
        <v>월</v>
      </c>
      <c r="D546" s="3">
        <v>44655</v>
      </c>
      <c r="E546" s="7">
        <v>160</v>
      </c>
      <c r="F546" s="2" t="s">
        <v>10</v>
      </c>
      <c r="G546" s="1">
        <v>28</v>
      </c>
      <c r="H546" s="6">
        <f t="shared" si="39"/>
        <v>132</v>
      </c>
      <c r="I546" s="1">
        <f>+COUNTIF(F$3:$F546,F546)</f>
        <v>36</v>
      </c>
      <c r="K546" s="132" t="str">
        <f t="shared" si="43"/>
        <v>평일</v>
      </c>
    </row>
    <row r="547" spans="1:11" ht="21.75" customHeight="1" x14ac:dyDescent="0.25">
      <c r="A547" s="2">
        <f t="shared" si="40"/>
        <v>2022</v>
      </c>
      <c r="B547" s="2">
        <f t="shared" si="41"/>
        <v>4</v>
      </c>
      <c r="C547" s="2" t="str">
        <f t="shared" si="42"/>
        <v>화</v>
      </c>
      <c r="D547" s="3">
        <v>44656</v>
      </c>
      <c r="E547" s="7">
        <v>194</v>
      </c>
      <c r="F547" s="2" t="s">
        <v>10</v>
      </c>
      <c r="G547" s="1">
        <v>29</v>
      </c>
      <c r="H547" s="6">
        <f t="shared" si="39"/>
        <v>165</v>
      </c>
      <c r="I547" s="1">
        <f>+COUNTIF(F$3:$F547,F547)</f>
        <v>37</v>
      </c>
      <c r="K547" s="132" t="str">
        <f t="shared" si="43"/>
        <v>평일</v>
      </c>
    </row>
    <row r="548" spans="1:11" ht="21.75" customHeight="1" x14ac:dyDescent="0.25">
      <c r="A548" s="2">
        <f t="shared" si="40"/>
        <v>2022</v>
      </c>
      <c r="B548" s="2">
        <f t="shared" si="41"/>
        <v>4</v>
      </c>
      <c r="C548" s="2" t="str">
        <f t="shared" si="42"/>
        <v>수</v>
      </c>
      <c r="D548" s="3">
        <v>44657</v>
      </c>
      <c r="E548" s="7">
        <v>163</v>
      </c>
      <c r="F548" s="2" t="s">
        <v>10</v>
      </c>
      <c r="G548" s="1">
        <v>26</v>
      </c>
      <c r="H548" s="6">
        <f t="shared" si="39"/>
        <v>137</v>
      </c>
      <c r="I548" s="1">
        <f>+COUNTIF(F$3:$F548,F548)</f>
        <v>38</v>
      </c>
      <c r="K548" s="132" t="str">
        <f t="shared" si="43"/>
        <v>평일</v>
      </c>
    </row>
    <row r="549" spans="1:11" ht="21.75" customHeight="1" x14ac:dyDescent="0.25">
      <c r="A549" s="2">
        <f t="shared" si="40"/>
        <v>2022</v>
      </c>
      <c r="B549" s="2">
        <f t="shared" si="41"/>
        <v>4</v>
      </c>
      <c r="C549" s="2" t="str">
        <f t="shared" si="42"/>
        <v>목</v>
      </c>
      <c r="D549" s="3">
        <v>44658</v>
      </c>
      <c r="E549" s="7">
        <v>182</v>
      </c>
      <c r="F549" s="2" t="s">
        <v>10</v>
      </c>
      <c r="G549" s="1">
        <v>16</v>
      </c>
      <c r="H549" s="6">
        <f t="shared" si="39"/>
        <v>166</v>
      </c>
      <c r="I549" s="1">
        <f>+COUNTIF(F$3:$F549,F549)</f>
        <v>39</v>
      </c>
      <c r="K549" s="132" t="str">
        <f t="shared" si="43"/>
        <v>평일</v>
      </c>
    </row>
    <row r="550" spans="1:11" ht="21.75" customHeight="1" x14ac:dyDescent="0.25">
      <c r="A550" s="2">
        <f t="shared" si="40"/>
        <v>2022</v>
      </c>
      <c r="B550" s="2">
        <f t="shared" si="41"/>
        <v>4</v>
      </c>
      <c r="C550" s="2" t="str">
        <f t="shared" si="42"/>
        <v>금</v>
      </c>
      <c r="D550" s="3">
        <v>44659</v>
      </c>
      <c r="E550" s="7">
        <v>274</v>
      </c>
      <c r="F550" s="2" t="s">
        <v>10</v>
      </c>
      <c r="G550" s="1">
        <v>48</v>
      </c>
      <c r="H550" s="6">
        <f t="shared" si="39"/>
        <v>226</v>
      </c>
      <c r="I550" s="1">
        <f>+COUNTIF(F$3:$F550,F550)</f>
        <v>40</v>
      </c>
      <c r="K550" s="132" t="str">
        <f t="shared" si="43"/>
        <v>평일</v>
      </c>
    </row>
    <row r="551" spans="1:11" ht="21.75" customHeight="1" x14ac:dyDescent="0.25">
      <c r="A551" s="2">
        <f t="shared" si="40"/>
        <v>2022</v>
      </c>
      <c r="B551" s="2">
        <f t="shared" si="41"/>
        <v>4</v>
      </c>
      <c r="C551" s="2" t="str">
        <f t="shared" si="42"/>
        <v>토</v>
      </c>
      <c r="D551" s="3">
        <v>44660</v>
      </c>
      <c r="E551" s="7">
        <v>656</v>
      </c>
      <c r="F551" s="2" t="s">
        <v>10</v>
      </c>
      <c r="G551" s="1">
        <v>125</v>
      </c>
      <c r="H551" s="6">
        <f t="shared" si="39"/>
        <v>531</v>
      </c>
      <c r="I551" s="1">
        <f>+COUNTIF(F$3:$F551,F551)</f>
        <v>41</v>
      </c>
      <c r="K551" s="132" t="str">
        <f t="shared" si="43"/>
        <v>주말</v>
      </c>
    </row>
    <row r="552" spans="1:11" ht="21.75" customHeight="1" x14ac:dyDescent="0.25">
      <c r="A552" s="2">
        <f t="shared" si="40"/>
        <v>2022</v>
      </c>
      <c r="B552" s="2">
        <f t="shared" si="41"/>
        <v>4</v>
      </c>
      <c r="C552" s="2" t="str">
        <f t="shared" si="42"/>
        <v>일</v>
      </c>
      <c r="D552" s="3">
        <v>44661</v>
      </c>
      <c r="E552" s="7">
        <v>406</v>
      </c>
      <c r="F552" s="2" t="s">
        <v>10</v>
      </c>
      <c r="G552" s="1">
        <v>61</v>
      </c>
      <c r="H552" s="6">
        <f t="shared" si="39"/>
        <v>345</v>
      </c>
      <c r="I552" s="1">
        <f>+COUNTIF(F$3:$F552,F552)</f>
        <v>42</v>
      </c>
      <c r="K552" s="132" t="str">
        <f t="shared" si="43"/>
        <v>주말</v>
      </c>
    </row>
    <row r="553" spans="1:11" ht="21.75" customHeight="1" x14ac:dyDescent="0.25">
      <c r="A553" s="2">
        <f t="shared" si="40"/>
        <v>2022</v>
      </c>
      <c r="B553" s="2">
        <f t="shared" si="41"/>
        <v>4</v>
      </c>
      <c r="C553" s="2" t="str">
        <f t="shared" si="42"/>
        <v>월</v>
      </c>
      <c r="D553" s="3">
        <v>44662</v>
      </c>
      <c r="E553" s="7">
        <v>173</v>
      </c>
      <c r="F553" s="2" t="s">
        <v>10</v>
      </c>
      <c r="G553" s="1">
        <v>27</v>
      </c>
      <c r="H553" s="6">
        <f t="shared" si="39"/>
        <v>146</v>
      </c>
      <c r="I553" s="1">
        <f>+COUNTIF(F$3:$F553,F553)</f>
        <v>43</v>
      </c>
      <c r="K553" s="132" t="str">
        <f t="shared" si="43"/>
        <v>평일</v>
      </c>
    </row>
    <row r="554" spans="1:11" ht="21.75" customHeight="1" x14ac:dyDescent="0.25">
      <c r="A554" s="2">
        <f t="shared" si="40"/>
        <v>2022</v>
      </c>
      <c r="B554" s="2">
        <f t="shared" si="41"/>
        <v>4</v>
      </c>
      <c r="C554" s="2" t="str">
        <f t="shared" si="42"/>
        <v>화</v>
      </c>
      <c r="D554" s="3">
        <v>44663</v>
      </c>
      <c r="E554" s="7">
        <v>170</v>
      </c>
      <c r="F554" s="2" t="s">
        <v>10</v>
      </c>
      <c r="G554" s="1">
        <v>34</v>
      </c>
      <c r="H554" s="6">
        <f t="shared" si="39"/>
        <v>136</v>
      </c>
      <c r="I554" s="1">
        <f>+COUNTIF(F$3:$F554,F554)</f>
        <v>44</v>
      </c>
      <c r="K554" s="132" t="str">
        <f t="shared" si="43"/>
        <v>평일</v>
      </c>
    </row>
    <row r="555" spans="1:11" ht="21.75" customHeight="1" x14ac:dyDescent="0.25">
      <c r="A555" s="2">
        <f t="shared" si="40"/>
        <v>2022</v>
      </c>
      <c r="B555" s="2">
        <f t="shared" si="41"/>
        <v>4</v>
      </c>
      <c r="C555" s="2" t="str">
        <f t="shared" si="42"/>
        <v>수</v>
      </c>
      <c r="D555" s="3">
        <v>44664</v>
      </c>
      <c r="E555" s="7">
        <v>138</v>
      </c>
      <c r="F555" s="2" t="s">
        <v>10</v>
      </c>
      <c r="G555" s="1">
        <v>13</v>
      </c>
      <c r="H555" s="6">
        <f t="shared" si="39"/>
        <v>125</v>
      </c>
      <c r="I555" s="1">
        <f>+COUNTIF(F$3:$F555,F555)</f>
        <v>45</v>
      </c>
      <c r="K555" s="132" t="str">
        <f t="shared" si="43"/>
        <v>평일</v>
      </c>
    </row>
    <row r="556" spans="1:11" ht="21.75" customHeight="1" x14ac:dyDescent="0.25">
      <c r="A556" s="2">
        <f t="shared" si="40"/>
        <v>2022</v>
      </c>
      <c r="B556" s="2">
        <f t="shared" si="41"/>
        <v>4</v>
      </c>
      <c r="C556" s="2" t="str">
        <f t="shared" si="42"/>
        <v>목</v>
      </c>
      <c r="D556" s="3">
        <v>44665</v>
      </c>
      <c r="E556" s="7">
        <v>157</v>
      </c>
      <c r="F556" s="2" t="s">
        <v>10</v>
      </c>
      <c r="G556" s="1">
        <v>26</v>
      </c>
      <c r="H556" s="6">
        <f t="shared" si="39"/>
        <v>131</v>
      </c>
      <c r="I556" s="1">
        <f>+COUNTIF(F$3:$F556,F556)</f>
        <v>46</v>
      </c>
      <c r="K556" s="132" t="str">
        <f t="shared" si="43"/>
        <v>평일</v>
      </c>
    </row>
    <row r="557" spans="1:11" ht="21.75" customHeight="1" x14ac:dyDescent="0.25">
      <c r="A557" s="2">
        <f t="shared" si="40"/>
        <v>2022</v>
      </c>
      <c r="B557" s="2">
        <f t="shared" si="41"/>
        <v>4</v>
      </c>
      <c r="C557" s="2" t="str">
        <f t="shared" si="42"/>
        <v>금</v>
      </c>
      <c r="D557" s="3">
        <v>44666</v>
      </c>
      <c r="E557" s="7">
        <v>189</v>
      </c>
      <c r="F557" s="2" t="s">
        <v>10</v>
      </c>
      <c r="G557" s="1">
        <v>29</v>
      </c>
      <c r="H557" s="6">
        <f t="shared" si="39"/>
        <v>160</v>
      </c>
      <c r="I557" s="1">
        <f>+COUNTIF(F$3:$F557,F557)</f>
        <v>47</v>
      </c>
      <c r="K557" s="132" t="str">
        <f t="shared" si="43"/>
        <v>평일</v>
      </c>
    </row>
    <row r="558" spans="1:11" ht="21.75" customHeight="1" x14ac:dyDescent="0.25">
      <c r="A558" s="2">
        <f t="shared" si="40"/>
        <v>2022</v>
      </c>
      <c r="B558" s="2">
        <f t="shared" si="41"/>
        <v>4</v>
      </c>
      <c r="C558" s="2" t="str">
        <f t="shared" si="42"/>
        <v>토</v>
      </c>
      <c r="D558" s="3">
        <v>44667</v>
      </c>
      <c r="E558" s="7">
        <v>466</v>
      </c>
      <c r="F558" s="2" t="s">
        <v>10</v>
      </c>
      <c r="G558" s="1">
        <v>95</v>
      </c>
      <c r="H558" s="6">
        <f t="shared" si="39"/>
        <v>371</v>
      </c>
      <c r="I558" s="1">
        <f>+COUNTIF(F$3:$F558,F558)</f>
        <v>48</v>
      </c>
      <c r="K558" s="132" t="str">
        <f t="shared" si="43"/>
        <v>주말</v>
      </c>
    </row>
    <row r="559" spans="1:11" ht="21.75" customHeight="1" x14ac:dyDescent="0.25">
      <c r="A559" s="2">
        <f t="shared" si="40"/>
        <v>2022</v>
      </c>
      <c r="B559" s="2">
        <f t="shared" si="41"/>
        <v>4</v>
      </c>
      <c r="C559" s="2" t="str">
        <f t="shared" si="42"/>
        <v>일</v>
      </c>
      <c r="D559" s="3">
        <v>44668</v>
      </c>
      <c r="E559" s="7">
        <v>324</v>
      </c>
      <c r="F559" s="2" t="s">
        <v>10</v>
      </c>
      <c r="G559" s="1">
        <v>55</v>
      </c>
      <c r="H559" s="6">
        <f t="shared" si="39"/>
        <v>269</v>
      </c>
      <c r="I559" s="1">
        <f>+COUNTIF(F$3:$F559,F559)</f>
        <v>49</v>
      </c>
      <c r="K559" s="132" t="str">
        <f t="shared" si="43"/>
        <v>주말</v>
      </c>
    </row>
    <row r="560" spans="1:11" ht="21.75" customHeight="1" x14ac:dyDescent="0.25">
      <c r="A560" s="2">
        <f t="shared" si="40"/>
        <v>2022</v>
      </c>
      <c r="B560" s="2">
        <f t="shared" si="41"/>
        <v>4</v>
      </c>
      <c r="C560" s="2" t="str">
        <f t="shared" si="42"/>
        <v>월</v>
      </c>
      <c r="D560" s="3">
        <v>44669</v>
      </c>
      <c r="E560" s="7">
        <v>0</v>
      </c>
      <c r="F560" s="2" t="s">
        <v>10</v>
      </c>
      <c r="G560" s="1">
        <v>0</v>
      </c>
      <c r="H560" s="6">
        <f t="shared" si="39"/>
        <v>0</v>
      </c>
      <c r="I560" s="1">
        <f>+COUNTIF(F$3:$F560,F560)</f>
        <v>50</v>
      </c>
      <c r="K560" s="132" t="str">
        <f t="shared" si="43"/>
        <v>평일</v>
      </c>
    </row>
    <row r="561" spans="1:11" ht="21.75" customHeight="1" x14ac:dyDescent="0.25">
      <c r="A561" s="2">
        <f t="shared" si="40"/>
        <v>2022</v>
      </c>
      <c r="B561" s="2">
        <f t="shared" si="41"/>
        <v>4</v>
      </c>
      <c r="C561" s="2" t="str">
        <f t="shared" si="42"/>
        <v>화</v>
      </c>
      <c r="D561" s="3">
        <v>44670</v>
      </c>
      <c r="E561" s="7">
        <v>112</v>
      </c>
      <c r="F561" s="2" t="s">
        <v>10</v>
      </c>
      <c r="G561" s="1">
        <v>15</v>
      </c>
      <c r="H561" s="6">
        <f t="shared" si="39"/>
        <v>97</v>
      </c>
      <c r="I561" s="1">
        <f>+COUNTIF(F$3:$F561,F561)</f>
        <v>51</v>
      </c>
      <c r="K561" s="132" t="str">
        <f t="shared" si="43"/>
        <v>평일</v>
      </c>
    </row>
    <row r="562" spans="1:11" ht="21.75" customHeight="1" x14ac:dyDescent="0.25">
      <c r="A562" s="2">
        <f t="shared" si="40"/>
        <v>2022</v>
      </c>
      <c r="B562" s="2">
        <f t="shared" si="41"/>
        <v>4</v>
      </c>
      <c r="C562" s="2" t="str">
        <f t="shared" si="42"/>
        <v>수</v>
      </c>
      <c r="D562" s="3">
        <v>44671</v>
      </c>
      <c r="E562" s="7">
        <v>126</v>
      </c>
      <c r="F562" s="2" t="s">
        <v>10</v>
      </c>
      <c r="G562" s="1">
        <v>28</v>
      </c>
      <c r="H562" s="6">
        <f t="shared" si="39"/>
        <v>98</v>
      </c>
      <c r="I562" s="1">
        <f>+COUNTIF(F$3:$F562,F562)</f>
        <v>52</v>
      </c>
      <c r="K562" s="132" t="str">
        <f t="shared" si="43"/>
        <v>평일</v>
      </c>
    </row>
    <row r="563" spans="1:11" ht="21.75" customHeight="1" x14ac:dyDescent="0.25">
      <c r="A563" s="2">
        <f t="shared" si="40"/>
        <v>2022</v>
      </c>
      <c r="B563" s="2">
        <f t="shared" si="41"/>
        <v>4</v>
      </c>
      <c r="C563" s="2" t="str">
        <f t="shared" si="42"/>
        <v>목</v>
      </c>
      <c r="D563" s="3">
        <v>44672</v>
      </c>
      <c r="E563" s="7">
        <v>115</v>
      </c>
      <c r="F563" s="2" t="s">
        <v>10</v>
      </c>
      <c r="G563" s="1">
        <v>33</v>
      </c>
      <c r="H563" s="6">
        <f t="shared" si="39"/>
        <v>82</v>
      </c>
      <c r="I563" s="1">
        <f>+COUNTIF(F$3:$F563,F563)</f>
        <v>53</v>
      </c>
      <c r="K563" s="132" t="str">
        <f t="shared" si="43"/>
        <v>평일</v>
      </c>
    </row>
    <row r="564" spans="1:11" ht="21.75" customHeight="1" x14ac:dyDescent="0.25">
      <c r="A564" s="2">
        <f t="shared" si="40"/>
        <v>2022</v>
      </c>
      <c r="B564" s="2">
        <f t="shared" si="41"/>
        <v>4</v>
      </c>
      <c r="C564" s="2" t="str">
        <f t="shared" si="42"/>
        <v>금</v>
      </c>
      <c r="D564" s="3">
        <v>44673</v>
      </c>
      <c r="E564" s="7">
        <v>154</v>
      </c>
      <c r="F564" s="2" t="s">
        <v>10</v>
      </c>
      <c r="G564" s="1">
        <v>39</v>
      </c>
      <c r="H564" s="6">
        <f t="shared" si="39"/>
        <v>115</v>
      </c>
      <c r="I564" s="1">
        <f>+COUNTIF(F$3:$F564,F564)</f>
        <v>54</v>
      </c>
      <c r="K564" s="132" t="str">
        <f t="shared" si="43"/>
        <v>평일</v>
      </c>
    </row>
    <row r="565" spans="1:11" ht="21.75" customHeight="1" x14ac:dyDescent="0.25">
      <c r="A565" s="2">
        <f t="shared" si="40"/>
        <v>2022</v>
      </c>
      <c r="B565" s="2">
        <f t="shared" si="41"/>
        <v>4</v>
      </c>
      <c r="C565" s="2" t="str">
        <f t="shared" si="42"/>
        <v>토</v>
      </c>
      <c r="D565" s="3">
        <v>44674</v>
      </c>
      <c r="E565" s="7">
        <v>476</v>
      </c>
      <c r="F565" s="2" t="s">
        <v>10</v>
      </c>
      <c r="G565" s="1">
        <v>95</v>
      </c>
      <c r="H565" s="6">
        <f t="shared" si="39"/>
        <v>381</v>
      </c>
      <c r="I565" s="1">
        <f>+COUNTIF(F$3:$F565,F565)</f>
        <v>55</v>
      </c>
      <c r="K565" s="132" t="str">
        <f t="shared" si="43"/>
        <v>주말</v>
      </c>
    </row>
    <row r="566" spans="1:11" ht="21.75" customHeight="1" x14ac:dyDescent="0.25">
      <c r="A566" s="2">
        <f t="shared" si="40"/>
        <v>2022</v>
      </c>
      <c r="B566" s="2">
        <f t="shared" si="41"/>
        <v>4</v>
      </c>
      <c r="C566" s="2" t="str">
        <f t="shared" si="42"/>
        <v>일</v>
      </c>
      <c r="D566" s="3">
        <v>44675</v>
      </c>
      <c r="E566" s="7">
        <v>264</v>
      </c>
      <c r="F566" s="2" t="s">
        <v>10</v>
      </c>
      <c r="G566" s="1">
        <v>81</v>
      </c>
      <c r="H566" s="6">
        <f t="shared" si="39"/>
        <v>183</v>
      </c>
      <c r="I566" s="1">
        <f>+COUNTIF(F$3:$F566,F566)</f>
        <v>56</v>
      </c>
      <c r="K566" s="132" t="str">
        <f t="shared" si="43"/>
        <v>주말</v>
      </c>
    </row>
    <row r="567" spans="1:11" ht="21.75" customHeight="1" x14ac:dyDescent="0.25">
      <c r="A567" s="2">
        <f t="shared" si="40"/>
        <v>2022</v>
      </c>
      <c r="B567" s="2">
        <f t="shared" si="41"/>
        <v>4</v>
      </c>
      <c r="C567" s="2" t="str">
        <f t="shared" si="42"/>
        <v>월</v>
      </c>
      <c r="D567" s="3">
        <v>44676</v>
      </c>
      <c r="E567" s="7">
        <v>174</v>
      </c>
      <c r="F567" s="2" t="s">
        <v>10</v>
      </c>
      <c r="G567" s="1">
        <v>50</v>
      </c>
      <c r="H567" s="6">
        <f t="shared" si="39"/>
        <v>124</v>
      </c>
      <c r="I567" s="1">
        <f>+COUNTIF(F$3:$F567,F567)</f>
        <v>57</v>
      </c>
      <c r="K567" s="132" t="str">
        <f t="shared" si="43"/>
        <v>평일</v>
      </c>
    </row>
    <row r="568" spans="1:11" ht="21.75" customHeight="1" x14ac:dyDescent="0.25">
      <c r="A568" s="2">
        <f t="shared" si="40"/>
        <v>2022</v>
      </c>
      <c r="B568" s="2">
        <f t="shared" si="41"/>
        <v>4</v>
      </c>
      <c r="C568" s="2" t="str">
        <f t="shared" si="42"/>
        <v>화</v>
      </c>
      <c r="D568" s="3">
        <v>44677</v>
      </c>
      <c r="E568" s="7">
        <v>124</v>
      </c>
      <c r="F568" s="2" t="s">
        <v>10</v>
      </c>
      <c r="G568" s="1">
        <v>41</v>
      </c>
      <c r="H568" s="6">
        <f t="shared" si="39"/>
        <v>83</v>
      </c>
      <c r="I568" s="1">
        <f>+COUNTIF(F$3:$F568,F568)</f>
        <v>58</v>
      </c>
      <c r="K568" s="132" t="str">
        <f t="shared" si="43"/>
        <v>평일</v>
      </c>
    </row>
    <row r="569" spans="1:11" ht="21.75" customHeight="1" x14ac:dyDescent="0.25">
      <c r="A569" s="2">
        <f t="shared" si="40"/>
        <v>2022</v>
      </c>
      <c r="B569" s="2">
        <f t="shared" si="41"/>
        <v>4</v>
      </c>
      <c r="C569" s="2" t="str">
        <f t="shared" si="42"/>
        <v>수</v>
      </c>
      <c r="D569" s="3">
        <v>44678</v>
      </c>
      <c r="E569" s="7">
        <v>309</v>
      </c>
      <c r="F569" s="2" t="s">
        <v>10</v>
      </c>
      <c r="G569" s="1">
        <v>54</v>
      </c>
      <c r="H569" s="6">
        <f t="shared" si="39"/>
        <v>255</v>
      </c>
      <c r="I569" s="1">
        <f>+COUNTIF(F$3:$F569,F569)</f>
        <v>59</v>
      </c>
      <c r="K569" s="132" t="str">
        <f t="shared" si="43"/>
        <v>평일</v>
      </c>
    </row>
    <row r="570" spans="1:11" ht="21.75" customHeight="1" x14ac:dyDescent="0.25">
      <c r="A570" s="2">
        <f t="shared" si="40"/>
        <v>2022</v>
      </c>
      <c r="B570" s="2">
        <f t="shared" si="41"/>
        <v>4</v>
      </c>
      <c r="C570" s="2" t="str">
        <f t="shared" si="42"/>
        <v>목</v>
      </c>
      <c r="D570" s="3">
        <v>44679</v>
      </c>
      <c r="E570" s="7">
        <v>228</v>
      </c>
      <c r="F570" s="2" t="s">
        <v>10</v>
      </c>
      <c r="G570" s="1">
        <v>67</v>
      </c>
      <c r="H570" s="6">
        <f t="shared" si="39"/>
        <v>161</v>
      </c>
      <c r="I570" s="1">
        <f>+COUNTIF(F$3:$F570,F570)</f>
        <v>60</v>
      </c>
      <c r="K570" s="132" t="str">
        <f t="shared" si="43"/>
        <v>평일</v>
      </c>
    </row>
    <row r="571" spans="1:11" ht="21.75" customHeight="1" x14ac:dyDescent="0.25">
      <c r="A571" s="2">
        <f t="shared" si="40"/>
        <v>2022</v>
      </c>
      <c r="B571" s="2">
        <f t="shared" si="41"/>
        <v>4</v>
      </c>
      <c r="C571" s="2" t="str">
        <f t="shared" si="42"/>
        <v>금</v>
      </c>
      <c r="D571" s="3">
        <v>44680</v>
      </c>
      <c r="E571" s="7">
        <v>289</v>
      </c>
      <c r="F571" s="2" t="s">
        <v>10</v>
      </c>
      <c r="G571" s="1">
        <v>74</v>
      </c>
      <c r="H571" s="6">
        <f t="shared" si="39"/>
        <v>215</v>
      </c>
      <c r="I571" s="1">
        <f>+COUNTIF(F$3:$F571,F571)</f>
        <v>61</v>
      </c>
      <c r="K571" s="132" t="str">
        <f t="shared" si="43"/>
        <v>평일</v>
      </c>
    </row>
    <row r="572" spans="1:11" ht="21.75" customHeight="1" x14ac:dyDescent="0.25">
      <c r="A572" s="2">
        <f t="shared" si="40"/>
        <v>2022</v>
      </c>
      <c r="B572" s="2">
        <f t="shared" si="41"/>
        <v>4</v>
      </c>
      <c r="C572" s="2" t="str">
        <f t="shared" si="42"/>
        <v>토</v>
      </c>
      <c r="D572" s="3">
        <v>44681</v>
      </c>
      <c r="E572" s="7">
        <v>564</v>
      </c>
      <c r="F572" s="2" t="s">
        <v>10</v>
      </c>
      <c r="G572" s="1">
        <v>175</v>
      </c>
      <c r="H572" s="6">
        <f t="shared" si="39"/>
        <v>389</v>
      </c>
      <c r="I572" s="1">
        <f>+COUNTIF(F$3:$F572,F572)</f>
        <v>62</v>
      </c>
      <c r="K572" s="132" t="str">
        <f t="shared" si="43"/>
        <v>주말</v>
      </c>
    </row>
    <row r="573" spans="1:11" ht="21.75" customHeight="1" x14ac:dyDescent="0.25">
      <c r="A573" s="2">
        <f t="shared" si="40"/>
        <v>2022</v>
      </c>
      <c r="B573" s="2">
        <f t="shared" si="41"/>
        <v>5</v>
      </c>
      <c r="C573" s="2" t="str">
        <f t="shared" si="42"/>
        <v>일</v>
      </c>
      <c r="D573" s="3">
        <v>44682</v>
      </c>
      <c r="E573" s="7">
        <v>327</v>
      </c>
      <c r="F573" s="2" t="s">
        <v>10</v>
      </c>
      <c r="G573" s="1">
        <v>71</v>
      </c>
      <c r="H573" s="6">
        <f t="shared" si="39"/>
        <v>256</v>
      </c>
      <c r="I573" s="1">
        <f>+COUNTIF(F$3:$F573,F573)</f>
        <v>63</v>
      </c>
      <c r="K573" s="132" t="str">
        <f t="shared" si="43"/>
        <v>주말</v>
      </c>
    </row>
    <row r="574" spans="1:11" ht="21.75" customHeight="1" x14ac:dyDescent="0.25">
      <c r="A574" s="2">
        <f t="shared" si="40"/>
        <v>2022</v>
      </c>
      <c r="B574" s="2">
        <f t="shared" si="41"/>
        <v>5</v>
      </c>
      <c r="C574" s="2" t="str">
        <f t="shared" si="42"/>
        <v>월</v>
      </c>
      <c r="D574" s="3">
        <v>44683</v>
      </c>
      <c r="E574" s="7">
        <v>131</v>
      </c>
      <c r="F574" s="2" t="s">
        <v>10</v>
      </c>
      <c r="G574" s="1">
        <v>26</v>
      </c>
      <c r="H574" s="6">
        <f t="shared" si="39"/>
        <v>105</v>
      </c>
      <c r="I574" s="1">
        <f>+COUNTIF(F$3:$F574,F574)</f>
        <v>64</v>
      </c>
      <c r="K574" s="132" t="str">
        <f t="shared" si="43"/>
        <v>평일</v>
      </c>
    </row>
    <row r="575" spans="1:11" ht="21.75" customHeight="1" x14ac:dyDescent="0.25">
      <c r="A575" s="2">
        <f t="shared" si="40"/>
        <v>2022</v>
      </c>
      <c r="B575" s="2">
        <f t="shared" si="41"/>
        <v>5</v>
      </c>
      <c r="C575" s="2" t="str">
        <f t="shared" si="42"/>
        <v>화</v>
      </c>
      <c r="D575" s="3">
        <v>44684</v>
      </c>
      <c r="E575" s="7">
        <v>149</v>
      </c>
      <c r="F575" s="2" t="s">
        <v>10</v>
      </c>
      <c r="G575" s="1">
        <v>34</v>
      </c>
      <c r="H575" s="6">
        <f t="shared" si="39"/>
        <v>115</v>
      </c>
      <c r="I575" s="1">
        <f>+COUNTIF(F$3:$F575,F575)</f>
        <v>65</v>
      </c>
      <c r="K575" s="132" t="str">
        <f t="shared" si="43"/>
        <v>평일</v>
      </c>
    </row>
    <row r="576" spans="1:11" ht="21.75" customHeight="1" x14ac:dyDescent="0.25">
      <c r="A576" s="2">
        <f t="shared" si="40"/>
        <v>2022</v>
      </c>
      <c r="B576" s="2">
        <f t="shared" si="41"/>
        <v>5</v>
      </c>
      <c r="C576" s="2" t="str">
        <f t="shared" si="42"/>
        <v>수</v>
      </c>
      <c r="D576" s="3">
        <v>44685</v>
      </c>
      <c r="E576" s="7">
        <v>80</v>
      </c>
      <c r="F576" s="2" t="s">
        <v>10</v>
      </c>
      <c r="G576" s="1">
        <v>13</v>
      </c>
      <c r="H576" s="6">
        <f t="shared" ref="H576:H609" si="44">+E576-G576</f>
        <v>67</v>
      </c>
      <c r="I576" s="1">
        <f>+COUNTIF(F$3:$F576,F576)</f>
        <v>66</v>
      </c>
      <c r="K576" s="132" t="str">
        <f t="shared" si="43"/>
        <v>평일</v>
      </c>
    </row>
    <row r="577" spans="1:11" ht="21.75" customHeight="1" x14ac:dyDescent="0.25">
      <c r="A577" s="2">
        <f t="shared" si="40"/>
        <v>2022</v>
      </c>
      <c r="B577" s="2">
        <f t="shared" si="41"/>
        <v>5</v>
      </c>
      <c r="C577" s="2" t="str">
        <f t="shared" si="42"/>
        <v>목</v>
      </c>
      <c r="D577" s="3">
        <v>44686</v>
      </c>
      <c r="E577" s="7">
        <v>317</v>
      </c>
      <c r="F577" s="2" t="s">
        <v>10</v>
      </c>
      <c r="G577" s="1">
        <v>33</v>
      </c>
      <c r="H577" s="6">
        <f t="shared" si="44"/>
        <v>284</v>
      </c>
      <c r="I577" s="1">
        <f>+COUNTIF(F$3:$F577,F577)</f>
        <v>67</v>
      </c>
      <c r="K577" s="132" t="str">
        <f t="shared" si="43"/>
        <v>평일</v>
      </c>
    </row>
    <row r="578" spans="1:11" ht="21.75" customHeight="1" x14ac:dyDescent="0.25">
      <c r="A578" s="2">
        <f t="shared" si="40"/>
        <v>2022</v>
      </c>
      <c r="B578" s="2">
        <f t="shared" si="41"/>
        <v>5</v>
      </c>
      <c r="C578" s="2" t="str">
        <f t="shared" si="42"/>
        <v>금</v>
      </c>
      <c r="D578" s="3">
        <v>44687</v>
      </c>
      <c r="E578" s="7">
        <v>258</v>
      </c>
      <c r="F578" s="2" t="s">
        <v>10</v>
      </c>
      <c r="G578" s="1">
        <v>34</v>
      </c>
      <c r="H578" s="6">
        <f t="shared" si="44"/>
        <v>224</v>
      </c>
      <c r="I578" s="1">
        <f>+COUNTIF(F$3:$F578,F578)</f>
        <v>68</v>
      </c>
      <c r="K578" s="132" t="str">
        <f t="shared" si="43"/>
        <v>평일</v>
      </c>
    </row>
    <row r="579" spans="1:11" ht="21.75" customHeight="1" x14ac:dyDescent="0.25">
      <c r="A579" s="2">
        <f t="shared" si="40"/>
        <v>2022</v>
      </c>
      <c r="B579" s="2">
        <f t="shared" si="41"/>
        <v>5</v>
      </c>
      <c r="C579" s="2" t="str">
        <f t="shared" si="42"/>
        <v>토</v>
      </c>
      <c r="D579" s="3">
        <v>44688</v>
      </c>
      <c r="E579" s="7">
        <v>455</v>
      </c>
      <c r="F579" s="2" t="s">
        <v>10</v>
      </c>
      <c r="G579" s="1">
        <v>61</v>
      </c>
      <c r="H579" s="6">
        <f t="shared" si="44"/>
        <v>394</v>
      </c>
      <c r="I579" s="1">
        <f>+COUNTIF(F$3:$F579,F579)</f>
        <v>69</v>
      </c>
      <c r="K579" s="132" t="str">
        <f t="shared" si="43"/>
        <v>주말</v>
      </c>
    </row>
    <row r="580" spans="1:11" ht="21.75" customHeight="1" x14ac:dyDescent="0.25">
      <c r="A580" s="2">
        <f t="shared" ref="A580:A643" si="45">+YEAR(D580)</f>
        <v>2022</v>
      </c>
      <c r="B580" s="2">
        <f t="shared" ref="B580:B643" si="46">+MONTH(D580)</f>
        <v>5</v>
      </c>
      <c r="C580" s="2" t="str">
        <f t="shared" ref="C580:C643" si="47">+TEXT(D580,"aaa")</f>
        <v>일</v>
      </c>
      <c r="D580" s="3">
        <v>44689</v>
      </c>
      <c r="E580" s="7">
        <v>300</v>
      </c>
      <c r="F580" s="2" t="s">
        <v>10</v>
      </c>
      <c r="G580" s="1">
        <v>36</v>
      </c>
      <c r="H580" s="6">
        <f t="shared" si="44"/>
        <v>264</v>
      </c>
      <c r="I580" s="1">
        <f>+COUNTIF(F$3:$F580,F580)</f>
        <v>70</v>
      </c>
      <c r="K580" s="132" t="str">
        <f t="shared" ref="K580:K643" si="48">+IF(OR(C580="토",C580="일"),"주말","평일")</f>
        <v>주말</v>
      </c>
    </row>
    <row r="581" spans="1:11" ht="21.75" customHeight="1" x14ac:dyDescent="0.25">
      <c r="A581" s="2">
        <f t="shared" si="45"/>
        <v>2022</v>
      </c>
      <c r="B581" s="2">
        <f t="shared" si="46"/>
        <v>5</v>
      </c>
      <c r="C581" s="2" t="str">
        <f t="shared" si="47"/>
        <v>월</v>
      </c>
      <c r="D581" s="3">
        <v>44690</v>
      </c>
      <c r="E581" s="7">
        <v>114</v>
      </c>
      <c r="F581" s="2" t="s">
        <v>10</v>
      </c>
      <c r="G581" s="1">
        <v>17</v>
      </c>
      <c r="H581" s="6">
        <f t="shared" si="44"/>
        <v>97</v>
      </c>
      <c r="I581" s="1">
        <f>+COUNTIF(F$3:$F581,F581)</f>
        <v>71</v>
      </c>
      <c r="K581" s="132" t="str">
        <f t="shared" si="48"/>
        <v>평일</v>
      </c>
    </row>
    <row r="582" spans="1:11" ht="21.75" customHeight="1" x14ac:dyDescent="0.25">
      <c r="A582" s="2">
        <f t="shared" si="45"/>
        <v>2022</v>
      </c>
      <c r="B582" s="2">
        <f t="shared" si="46"/>
        <v>5</v>
      </c>
      <c r="C582" s="2" t="str">
        <f t="shared" si="47"/>
        <v>화</v>
      </c>
      <c r="D582" s="3">
        <v>44691</v>
      </c>
      <c r="E582" s="7">
        <v>106</v>
      </c>
      <c r="F582" s="2" t="s">
        <v>10</v>
      </c>
      <c r="G582" s="1">
        <v>25</v>
      </c>
      <c r="H582" s="6">
        <f t="shared" si="44"/>
        <v>81</v>
      </c>
      <c r="I582" s="1">
        <f>+COUNTIF(F$3:$F582,F582)</f>
        <v>72</v>
      </c>
      <c r="K582" s="132" t="str">
        <f t="shared" si="48"/>
        <v>평일</v>
      </c>
    </row>
    <row r="583" spans="1:11" ht="21.75" customHeight="1" x14ac:dyDescent="0.25">
      <c r="A583" s="2">
        <f t="shared" si="45"/>
        <v>2022</v>
      </c>
      <c r="B583" s="2">
        <f t="shared" si="46"/>
        <v>5</v>
      </c>
      <c r="C583" s="2" t="str">
        <f t="shared" si="47"/>
        <v>수</v>
      </c>
      <c r="D583" s="3">
        <v>44692</v>
      </c>
      <c r="E583" s="7">
        <v>94</v>
      </c>
      <c r="F583" s="2" t="s">
        <v>10</v>
      </c>
      <c r="G583" s="1">
        <v>11</v>
      </c>
      <c r="H583" s="6">
        <f t="shared" si="44"/>
        <v>83</v>
      </c>
      <c r="I583" s="1">
        <f>+COUNTIF(F$3:$F583,F583)</f>
        <v>73</v>
      </c>
      <c r="K583" s="132" t="str">
        <f t="shared" si="48"/>
        <v>평일</v>
      </c>
    </row>
    <row r="584" spans="1:11" ht="21.75" customHeight="1" x14ac:dyDescent="0.25">
      <c r="A584" s="2">
        <f t="shared" si="45"/>
        <v>2022</v>
      </c>
      <c r="B584" s="2">
        <f t="shared" si="46"/>
        <v>5</v>
      </c>
      <c r="C584" s="2" t="str">
        <f t="shared" si="47"/>
        <v>목</v>
      </c>
      <c r="D584" s="3">
        <v>44693</v>
      </c>
      <c r="E584" s="7">
        <v>111</v>
      </c>
      <c r="F584" s="2" t="s">
        <v>10</v>
      </c>
      <c r="G584" s="1">
        <v>20</v>
      </c>
      <c r="H584" s="6">
        <f t="shared" si="44"/>
        <v>91</v>
      </c>
      <c r="I584" s="1">
        <f>+COUNTIF(F$3:$F584,F584)</f>
        <v>74</v>
      </c>
      <c r="K584" s="132" t="str">
        <f t="shared" si="48"/>
        <v>평일</v>
      </c>
    </row>
    <row r="585" spans="1:11" ht="21.75" customHeight="1" x14ac:dyDescent="0.25">
      <c r="A585" s="2">
        <f t="shared" si="45"/>
        <v>2022</v>
      </c>
      <c r="B585" s="2">
        <f t="shared" si="46"/>
        <v>5</v>
      </c>
      <c r="C585" s="2" t="str">
        <f t="shared" si="47"/>
        <v>금</v>
      </c>
      <c r="D585" s="3">
        <v>44694</v>
      </c>
      <c r="E585" s="7">
        <v>108</v>
      </c>
      <c r="F585" s="2" t="s">
        <v>10</v>
      </c>
      <c r="G585" s="1">
        <v>8</v>
      </c>
      <c r="H585" s="6">
        <f t="shared" si="44"/>
        <v>100</v>
      </c>
      <c r="I585" s="1">
        <f>+COUNTIF(F$3:$F585,F585)</f>
        <v>75</v>
      </c>
      <c r="K585" s="132" t="str">
        <f t="shared" si="48"/>
        <v>평일</v>
      </c>
    </row>
    <row r="586" spans="1:11" ht="21.75" customHeight="1" x14ac:dyDescent="0.25">
      <c r="A586" s="2">
        <f t="shared" si="45"/>
        <v>2022</v>
      </c>
      <c r="B586" s="2">
        <f t="shared" si="46"/>
        <v>5</v>
      </c>
      <c r="C586" s="2" t="str">
        <f t="shared" si="47"/>
        <v>토</v>
      </c>
      <c r="D586" s="3">
        <v>44695</v>
      </c>
      <c r="E586" s="7">
        <v>604</v>
      </c>
      <c r="F586" s="2" t="s">
        <v>10</v>
      </c>
      <c r="G586" s="1">
        <v>91</v>
      </c>
      <c r="H586" s="6">
        <f t="shared" si="44"/>
        <v>513</v>
      </c>
      <c r="I586" s="1">
        <f>+COUNTIF(F$3:$F586,F586)</f>
        <v>76</v>
      </c>
      <c r="K586" s="132" t="str">
        <f t="shared" si="48"/>
        <v>주말</v>
      </c>
    </row>
    <row r="587" spans="1:11" ht="21.75" customHeight="1" x14ac:dyDescent="0.25">
      <c r="A587" s="2">
        <f t="shared" si="45"/>
        <v>2022</v>
      </c>
      <c r="B587" s="2">
        <f t="shared" si="46"/>
        <v>5</v>
      </c>
      <c r="C587" s="2" t="str">
        <f t="shared" si="47"/>
        <v>일</v>
      </c>
      <c r="D587" s="3">
        <v>44696</v>
      </c>
      <c r="E587" s="7">
        <v>456</v>
      </c>
      <c r="F587" s="2" t="s">
        <v>10</v>
      </c>
      <c r="G587" s="1">
        <v>45</v>
      </c>
      <c r="H587" s="6">
        <f t="shared" si="44"/>
        <v>411</v>
      </c>
      <c r="I587" s="1">
        <f>+COUNTIF(F$3:$F587,F587)</f>
        <v>77</v>
      </c>
      <c r="K587" s="132" t="str">
        <f t="shared" si="48"/>
        <v>주말</v>
      </c>
    </row>
    <row r="588" spans="1:11" ht="21.75" customHeight="1" x14ac:dyDescent="0.25">
      <c r="A588" s="2">
        <f t="shared" si="45"/>
        <v>2022</v>
      </c>
      <c r="B588" s="2">
        <f t="shared" si="46"/>
        <v>5</v>
      </c>
      <c r="C588" s="2" t="str">
        <f t="shared" si="47"/>
        <v>월</v>
      </c>
      <c r="D588" s="3">
        <v>44697</v>
      </c>
      <c r="E588" s="7">
        <v>127</v>
      </c>
      <c r="F588" s="2" t="s">
        <v>10</v>
      </c>
      <c r="G588" s="1">
        <v>18</v>
      </c>
      <c r="H588" s="6">
        <f t="shared" si="44"/>
        <v>109</v>
      </c>
      <c r="I588" s="1">
        <f>+COUNTIF(F$3:$F588,F588)</f>
        <v>78</v>
      </c>
      <c r="K588" s="132" t="str">
        <f t="shared" si="48"/>
        <v>평일</v>
      </c>
    </row>
    <row r="589" spans="1:11" ht="21.75" customHeight="1" x14ac:dyDescent="0.25">
      <c r="A589" s="2">
        <f t="shared" si="45"/>
        <v>2022</v>
      </c>
      <c r="B589" s="2">
        <f t="shared" si="46"/>
        <v>5</v>
      </c>
      <c r="C589" s="2" t="str">
        <f t="shared" si="47"/>
        <v>화</v>
      </c>
      <c r="D589" s="3">
        <v>44698</v>
      </c>
      <c r="E589" s="7">
        <v>130</v>
      </c>
      <c r="F589" s="2" t="s">
        <v>10</v>
      </c>
      <c r="G589" s="1">
        <v>27</v>
      </c>
      <c r="H589" s="6">
        <f t="shared" si="44"/>
        <v>103</v>
      </c>
      <c r="I589" s="1">
        <f>+COUNTIF(F$3:$F589,F589)</f>
        <v>79</v>
      </c>
      <c r="K589" s="132" t="str">
        <f t="shared" si="48"/>
        <v>평일</v>
      </c>
    </row>
    <row r="590" spans="1:11" ht="21.75" customHeight="1" x14ac:dyDescent="0.25">
      <c r="A590" s="2">
        <f t="shared" si="45"/>
        <v>2022</v>
      </c>
      <c r="B590" s="2">
        <f t="shared" si="46"/>
        <v>5</v>
      </c>
      <c r="C590" s="2" t="str">
        <f t="shared" si="47"/>
        <v>수</v>
      </c>
      <c r="D590" s="3">
        <v>44699</v>
      </c>
      <c r="E590" s="7">
        <v>123</v>
      </c>
      <c r="F590" s="2" t="s">
        <v>10</v>
      </c>
      <c r="G590" s="1">
        <v>15</v>
      </c>
      <c r="H590" s="6">
        <f t="shared" si="44"/>
        <v>108</v>
      </c>
      <c r="I590" s="1">
        <f>+COUNTIF(F$3:$F590,F590)</f>
        <v>80</v>
      </c>
      <c r="K590" s="132" t="str">
        <f t="shared" si="48"/>
        <v>평일</v>
      </c>
    </row>
    <row r="591" spans="1:11" ht="21.75" customHeight="1" x14ac:dyDescent="0.25">
      <c r="A591" s="2">
        <f t="shared" si="45"/>
        <v>2022</v>
      </c>
      <c r="B591" s="2">
        <f t="shared" si="46"/>
        <v>5</v>
      </c>
      <c r="C591" s="2" t="str">
        <f t="shared" si="47"/>
        <v>목</v>
      </c>
      <c r="D591" s="3">
        <v>44700</v>
      </c>
      <c r="E591" s="7">
        <v>128</v>
      </c>
      <c r="F591" s="2" t="s">
        <v>10</v>
      </c>
      <c r="G591" s="1">
        <v>14</v>
      </c>
      <c r="H591" s="6">
        <f t="shared" si="44"/>
        <v>114</v>
      </c>
      <c r="I591" s="1">
        <f>+COUNTIF(F$3:$F591,F591)</f>
        <v>81</v>
      </c>
      <c r="K591" s="132" t="str">
        <f t="shared" si="48"/>
        <v>평일</v>
      </c>
    </row>
    <row r="592" spans="1:11" ht="21.75" customHeight="1" x14ac:dyDescent="0.25">
      <c r="A592" s="2">
        <f t="shared" si="45"/>
        <v>2022</v>
      </c>
      <c r="B592" s="2">
        <f t="shared" si="46"/>
        <v>5</v>
      </c>
      <c r="C592" s="2" t="str">
        <f t="shared" si="47"/>
        <v>금</v>
      </c>
      <c r="D592" s="3">
        <v>44701</v>
      </c>
      <c r="E592" s="7">
        <v>219</v>
      </c>
      <c r="F592" s="2" t="s">
        <v>10</v>
      </c>
      <c r="G592" s="1">
        <v>39</v>
      </c>
      <c r="H592" s="6">
        <f t="shared" si="44"/>
        <v>180</v>
      </c>
      <c r="I592" s="1">
        <f>+COUNTIF(F$3:$F592,F592)</f>
        <v>82</v>
      </c>
      <c r="K592" s="132" t="str">
        <f t="shared" si="48"/>
        <v>평일</v>
      </c>
    </row>
    <row r="593" spans="1:11" ht="21.75" customHeight="1" x14ac:dyDescent="0.25">
      <c r="A593" s="2">
        <f t="shared" si="45"/>
        <v>2022</v>
      </c>
      <c r="B593" s="2">
        <f t="shared" si="46"/>
        <v>5</v>
      </c>
      <c r="C593" s="2" t="str">
        <f t="shared" si="47"/>
        <v>토</v>
      </c>
      <c r="D593" s="3">
        <v>44702</v>
      </c>
      <c r="E593" s="7">
        <v>665</v>
      </c>
      <c r="F593" s="2" t="s">
        <v>10</v>
      </c>
      <c r="G593" s="1">
        <v>107</v>
      </c>
      <c r="H593" s="6">
        <f t="shared" si="44"/>
        <v>558</v>
      </c>
      <c r="I593" s="1">
        <f>+COUNTIF(F$3:$F593,F593)</f>
        <v>83</v>
      </c>
      <c r="K593" s="132" t="str">
        <f t="shared" si="48"/>
        <v>주말</v>
      </c>
    </row>
    <row r="594" spans="1:11" ht="21.75" customHeight="1" x14ac:dyDescent="0.25">
      <c r="A594" s="2">
        <f t="shared" si="45"/>
        <v>2022</v>
      </c>
      <c r="B594" s="2">
        <f t="shared" si="46"/>
        <v>5</v>
      </c>
      <c r="C594" s="2" t="str">
        <f t="shared" si="47"/>
        <v>일</v>
      </c>
      <c r="D594" s="3">
        <v>44703</v>
      </c>
      <c r="E594" s="7">
        <v>528</v>
      </c>
      <c r="F594" s="2" t="s">
        <v>10</v>
      </c>
      <c r="G594" s="1">
        <v>75</v>
      </c>
      <c r="H594" s="6">
        <f t="shared" si="44"/>
        <v>453</v>
      </c>
      <c r="I594" s="1">
        <f>+COUNTIF(F$3:$F594,F594)</f>
        <v>84</v>
      </c>
      <c r="K594" s="132" t="str">
        <f t="shared" si="48"/>
        <v>주말</v>
      </c>
    </row>
    <row r="595" spans="1:11" ht="21.75" customHeight="1" x14ac:dyDescent="0.25">
      <c r="A595" s="2">
        <f t="shared" si="45"/>
        <v>2022</v>
      </c>
      <c r="B595" s="2">
        <f t="shared" si="46"/>
        <v>5</v>
      </c>
      <c r="C595" s="2" t="str">
        <f t="shared" si="47"/>
        <v>월</v>
      </c>
      <c r="D595" s="3">
        <v>44704</v>
      </c>
      <c r="E595" s="7">
        <v>0</v>
      </c>
      <c r="F595" s="2" t="s">
        <v>10</v>
      </c>
      <c r="G595" s="1">
        <v>0</v>
      </c>
      <c r="H595" s="6">
        <f t="shared" si="44"/>
        <v>0</v>
      </c>
      <c r="I595" s="1">
        <f>+COUNTIF(F$3:$F595,F595)</f>
        <v>85</v>
      </c>
      <c r="K595" s="132" t="str">
        <f t="shared" si="48"/>
        <v>평일</v>
      </c>
    </row>
    <row r="596" spans="1:11" ht="21.75" customHeight="1" x14ac:dyDescent="0.25">
      <c r="A596" s="2">
        <f t="shared" si="45"/>
        <v>2022</v>
      </c>
      <c r="B596" s="2">
        <f t="shared" si="46"/>
        <v>5</v>
      </c>
      <c r="C596" s="2" t="str">
        <f t="shared" si="47"/>
        <v>화</v>
      </c>
      <c r="D596" s="3">
        <v>44705</v>
      </c>
      <c r="E596" s="7">
        <v>114</v>
      </c>
      <c r="F596" s="2" t="s">
        <v>10</v>
      </c>
      <c r="G596" s="1">
        <v>20</v>
      </c>
      <c r="H596" s="6">
        <f t="shared" si="44"/>
        <v>94</v>
      </c>
      <c r="I596" s="1">
        <f>+COUNTIF(F$3:$F596,F596)</f>
        <v>86</v>
      </c>
      <c r="K596" s="132" t="str">
        <f t="shared" si="48"/>
        <v>평일</v>
      </c>
    </row>
    <row r="597" spans="1:11" ht="21.75" customHeight="1" x14ac:dyDescent="0.25">
      <c r="A597" s="2">
        <f t="shared" si="45"/>
        <v>2022</v>
      </c>
      <c r="B597" s="2">
        <f t="shared" si="46"/>
        <v>5</v>
      </c>
      <c r="C597" s="2" t="str">
        <f t="shared" si="47"/>
        <v>수</v>
      </c>
      <c r="D597" s="3">
        <v>44706</v>
      </c>
      <c r="E597" s="7">
        <v>275</v>
      </c>
      <c r="F597" s="2" t="s">
        <v>10</v>
      </c>
      <c r="G597" s="1">
        <v>42</v>
      </c>
      <c r="H597" s="6">
        <f t="shared" si="44"/>
        <v>233</v>
      </c>
      <c r="I597" s="1">
        <f>+COUNTIF(F$3:$F597,F597)</f>
        <v>87</v>
      </c>
      <c r="K597" s="132" t="str">
        <f t="shared" si="48"/>
        <v>평일</v>
      </c>
    </row>
    <row r="598" spans="1:11" ht="21.75" customHeight="1" x14ac:dyDescent="0.25">
      <c r="A598" s="2">
        <f t="shared" si="45"/>
        <v>2022</v>
      </c>
      <c r="B598" s="2">
        <f t="shared" si="46"/>
        <v>5</v>
      </c>
      <c r="C598" s="2" t="str">
        <f t="shared" si="47"/>
        <v>목</v>
      </c>
      <c r="D598" s="3">
        <v>44707</v>
      </c>
      <c r="E598" s="7">
        <v>181</v>
      </c>
      <c r="F598" s="2" t="s">
        <v>10</v>
      </c>
      <c r="G598" s="1">
        <v>43</v>
      </c>
      <c r="H598" s="6">
        <f t="shared" si="44"/>
        <v>138</v>
      </c>
      <c r="I598" s="1">
        <f>+COUNTIF(F$3:$F598,F598)</f>
        <v>88</v>
      </c>
      <c r="K598" s="132" t="str">
        <f t="shared" si="48"/>
        <v>평일</v>
      </c>
    </row>
    <row r="599" spans="1:11" ht="21.75" customHeight="1" x14ac:dyDescent="0.25">
      <c r="A599" s="2">
        <f t="shared" si="45"/>
        <v>2022</v>
      </c>
      <c r="B599" s="2">
        <f t="shared" si="46"/>
        <v>5</v>
      </c>
      <c r="C599" s="2" t="str">
        <f t="shared" si="47"/>
        <v>금</v>
      </c>
      <c r="D599" s="3">
        <v>44708</v>
      </c>
      <c r="E599" s="7">
        <v>298</v>
      </c>
      <c r="F599" s="2" t="s">
        <v>10</v>
      </c>
      <c r="G599" s="1">
        <v>48</v>
      </c>
      <c r="H599" s="6">
        <f t="shared" si="44"/>
        <v>250</v>
      </c>
      <c r="I599" s="1">
        <f>+COUNTIF(F$3:$F599,F599)</f>
        <v>89</v>
      </c>
      <c r="K599" s="132" t="str">
        <f t="shared" si="48"/>
        <v>평일</v>
      </c>
    </row>
    <row r="600" spans="1:11" ht="21.75" customHeight="1" x14ac:dyDescent="0.25">
      <c r="A600" s="2">
        <f t="shared" si="45"/>
        <v>2022</v>
      </c>
      <c r="B600" s="2">
        <f t="shared" si="46"/>
        <v>5</v>
      </c>
      <c r="C600" s="2" t="str">
        <f t="shared" si="47"/>
        <v>토</v>
      </c>
      <c r="D600" s="3">
        <v>44709</v>
      </c>
      <c r="E600" s="7">
        <v>690</v>
      </c>
      <c r="F600" s="2" t="s">
        <v>10</v>
      </c>
      <c r="G600" s="1">
        <v>161</v>
      </c>
      <c r="H600" s="6">
        <f t="shared" si="44"/>
        <v>529</v>
      </c>
      <c r="I600" s="1">
        <f>+COUNTIF(F$3:$F600,F600)</f>
        <v>90</v>
      </c>
      <c r="K600" s="132" t="str">
        <f t="shared" si="48"/>
        <v>주말</v>
      </c>
    </row>
    <row r="601" spans="1:11" ht="21.75" customHeight="1" x14ac:dyDescent="0.25">
      <c r="A601" s="2">
        <f t="shared" si="45"/>
        <v>2022</v>
      </c>
      <c r="B601" s="2">
        <f t="shared" si="46"/>
        <v>5</v>
      </c>
      <c r="C601" s="2" t="str">
        <f t="shared" si="47"/>
        <v>일</v>
      </c>
      <c r="D601" s="3">
        <v>44710</v>
      </c>
      <c r="E601" s="7">
        <v>660</v>
      </c>
      <c r="F601" s="2" t="s">
        <v>10</v>
      </c>
      <c r="G601" s="1">
        <v>114</v>
      </c>
      <c r="H601" s="6">
        <f t="shared" si="44"/>
        <v>546</v>
      </c>
      <c r="I601" s="1">
        <f>+COUNTIF(F$3:$F601,F601)</f>
        <v>91</v>
      </c>
      <c r="K601" s="132" t="str">
        <f t="shared" si="48"/>
        <v>주말</v>
      </c>
    </row>
    <row r="602" spans="1:11" ht="21.75" customHeight="1" x14ac:dyDescent="0.25">
      <c r="A602" s="2">
        <f t="shared" si="45"/>
        <v>2022</v>
      </c>
      <c r="B602" s="2">
        <f t="shared" si="46"/>
        <v>5</v>
      </c>
      <c r="C602" s="2" t="str">
        <f t="shared" si="47"/>
        <v>월</v>
      </c>
      <c r="D602" s="3">
        <v>44711</v>
      </c>
      <c r="E602" s="7">
        <v>242</v>
      </c>
      <c r="F602" s="2" t="s">
        <v>10</v>
      </c>
      <c r="G602" s="1">
        <v>56</v>
      </c>
      <c r="H602" s="6">
        <f t="shared" si="44"/>
        <v>186</v>
      </c>
      <c r="I602" s="1">
        <f>+COUNTIF(F$3:$F602,F602)</f>
        <v>92</v>
      </c>
      <c r="K602" s="132" t="str">
        <f t="shared" si="48"/>
        <v>평일</v>
      </c>
    </row>
    <row r="603" spans="1:11" ht="21.75" customHeight="1" x14ac:dyDescent="0.25">
      <c r="A603" s="2">
        <f t="shared" si="45"/>
        <v>2022</v>
      </c>
      <c r="B603" s="2">
        <f t="shared" si="46"/>
        <v>5</v>
      </c>
      <c r="C603" s="2" t="str">
        <f t="shared" si="47"/>
        <v>화</v>
      </c>
      <c r="D603" s="3">
        <v>44712</v>
      </c>
      <c r="E603" s="7">
        <v>285</v>
      </c>
      <c r="F603" s="2" t="s">
        <v>10</v>
      </c>
      <c r="G603" s="1">
        <v>68</v>
      </c>
      <c r="H603" s="6">
        <f t="shared" si="44"/>
        <v>217</v>
      </c>
      <c r="I603" s="1">
        <f>+COUNTIF(F$3:$F603,F603)</f>
        <v>93</v>
      </c>
      <c r="K603" s="132" t="str">
        <f t="shared" si="48"/>
        <v>평일</v>
      </c>
    </row>
    <row r="604" spans="1:11" ht="21.75" customHeight="1" x14ac:dyDescent="0.25">
      <c r="A604" s="2">
        <f t="shared" si="45"/>
        <v>2022</v>
      </c>
      <c r="B604" s="2">
        <f t="shared" si="46"/>
        <v>6</v>
      </c>
      <c r="C604" s="2" t="str">
        <f t="shared" si="47"/>
        <v>수</v>
      </c>
      <c r="D604" s="3">
        <v>44713</v>
      </c>
      <c r="E604" s="7">
        <v>718</v>
      </c>
      <c r="F604" s="2" t="s">
        <v>10</v>
      </c>
      <c r="G604" s="1">
        <v>187</v>
      </c>
      <c r="H604" s="6">
        <f t="shared" si="44"/>
        <v>531</v>
      </c>
      <c r="I604" s="1">
        <f>+COUNTIF(F$3:$F604,F604)</f>
        <v>94</v>
      </c>
      <c r="K604" s="132" t="str">
        <f t="shared" si="48"/>
        <v>평일</v>
      </c>
    </row>
    <row r="605" spans="1:11" ht="21.75" customHeight="1" x14ac:dyDescent="0.25">
      <c r="A605" s="2">
        <f t="shared" si="45"/>
        <v>2022</v>
      </c>
      <c r="B605" s="2">
        <f t="shared" si="46"/>
        <v>6</v>
      </c>
      <c r="C605" s="2" t="str">
        <f t="shared" si="47"/>
        <v>목</v>
      </c>
      <c r="D605" s="3">
        <v>44714</v>
      </c>
      <c r="E605" s="7">
        <v>240</v>
      </c>
      <c r="F605" s="2" t="s">
        <v>10</v>
      </c>
      <c r="G605" s="1">
        <v>45</v>
      </c>
      <c r="H605" s="6">
        <f t="shared" si="44"/>
        <v>195</v>
      </c>
      <c r="I605" s="1">
        <f>+COUNTIF(F$3:$F605,F605)</f>
        <v>95</v>
      </c>
      <c r="K605" s="132" t="str">
        <f t="shared" si="48"/>
        <v>평일</v>
      </c>
    </row>
    <row r="606" spans="1:11" ht="21.75" customHeight="1" x14ac:dyDescent="0.25">
      <c r="A606" s="2">
        <f t="shared" si="45"/>
        <v>2022</v>
      </c>
      <c r="B606" s="2">
        <f t="shared" si="46"/>
        <v>6</v>
      </c>
      <c r="C606" s="2" t="str">
        <f t="shared" si="47"/>
        <v>금</v>
      </c>
      <c r="D606" s="3">
        <v>44715</v>
      </c>
      <c r="E606" s="7">
        <v>403</v>
      </c>
      <c r="F606" s="2" t="s">
        <v>10</v>
      </c>
      <c r="G606" s="1">
        <v>99</v>
      </c>
      <c r="H606" s="6">
        <f t="shared" si="44"/>
        <v>304</v>
      </c>
      <c r="I606" s="1">
        <f>+COUNTIF(F$3:$F606,F606)</f>
        <v>96</v>
      </c>
      <c r="K606" s="132" t="str">
        <f t="shared" si="48"/>
        <v>평일</v>
      </c>
    </row>
    <row r="607" spans="1:11" ht="21.75" customHeight="1" x14ac:dyDescent="0.25">
      <c r="A607" s="2">
        <f t="shared" si="45"/>
        <v>2022</v>
      </c>
      <c r="B607" s="2">
        <f t="shared" si="46"/>
        <v>6</v>
      </c>
      <c r="C607" s="2" t="str">
        <f t="shared" si="47"/>
        <v>토</v>
      </c>
      <c r="D607" s="3">
        <v>44716</v>
      </c>
      <c r="E607" s="7">
        <v>858</v>
      </c>
      <c r="F607" s="2" t="s">
        <v>10</v>
      </c>
      <c r="G607" s="1">
        <v>225</v>
      </c>
      <c r="H607" s="6">
        <f t="shared" si="44"/>
        <v>633</v>
      </c>
      <c r="I607" s="1">
        <f>+COUNTIF(F$3:$F607,F607)</f>
        <v>97</v>
      </c>
      <c r="K607" s="132" t="str">
        <f t="shared" si="48"/>
        <v>주말</v>
      </c>
    </row>
    <row r="608" spans="1:11" ht="21.75" customHeight="1" x14ac:dyDescent="0.25">
      <c r="A608" s="2">
        <f t="shared" si="45"/>
        <v>2022</v>
      </c>
      <c r="B608" s="2">
        <f t="shared" si="46"/>
        <v>6</v>
      </c>
      <c r="C608" s="2" t="str">
        <f t="shared" si="47"/>
        <v>일</v>
      </c>
      <c r="D608" s="3">
        <v>44717</v>
      </c>
      <c r="E608" s="7">
        <v>784</v>
      </c>
      <c r="F608" s="2" t="s">
        <v>10</v>
      </c>
      <c r="G608" s="1">
        <v>203</v>
      </c>
      <c r="H608" s="6">
        <f t="shared" si="44"/>
        <v>581</v>
      </c>
      <c r="I608" s="1">
        <f>+COUNTIF(F$3:$F608,F608)</f>
        <v>98</v>
      </c>
      <c r="K608" s="132" t="str">
        <f t="shared" si="48"/>
        <v>주말</v>
      </c>
    </row>
    <row r="609" spans="1:11" ht="21.75" customHeight="1" x14ac:dyDescent="0.25">
      <c r="A609" s="2">
        <f t="shared" si="45"/>
        <v>2022</v>
      </c>
      <c r="B609" s="2">
        <f t="shared" si="46"/>
        <v>6</v>
      </c>
      <c r="C609" s="2" t="str">
        <f t="shared" si="47"/>
        <v>월</v>
      </c>
      <c r="D609" s="3">
        <v>44718</v>
      </c>
      <c r="E609" s="7">
        <v>1132</v>
      </c>
      <c r="F609" s="2" t="s">
        <v>10</v>
      </c>
      <c r="G609" s="1">
        <v>333</v>
      </c>
      <c r="H609" s="6">
        <f t="shared" si="44"/>
        <v>799</v>
      </c>
      <c r="I609" s="1">
        <f>+COUNTIF(F$3:$F609,F609)</f>
        <v>99</v>
      </c>
      <c r="K609" s="132" t="str">
        <f t="shared" si="48"/>
        <v>평일</v>
      </c>
    </row>
    <row r="610" spans="1:11" ht="21.75" customHeight="1" x14ac:dyDescent="0.25">
      <c r="A610" s="2">
        <f t="shared" si="45"/>
        <v>2022</v>
      </c>
      <c r="B610" s="2">
        <f t="shared" si="46"/>
        <v>6</v>
      </c>
      <c r="C610" s="2" t="str">
        <f t="shared" si="47"/>
        <v>화</v>
      </c>
      <c r="D610" s="3">
        <v>44719</v>
      </c>
      <c r="E610" s="7">
        <v>0</v>
      </c>
      <c r="F610" s="2">
        <v>0</v>
      </c>
      <c r="I610" s="1">
        <f>+COUNTIF(F$3:$F610,F610)</f>
        <v>130</v>
      </c>
      <c r="K610" s="132" t="str">
        <f t="shared" si="48"/>
        <v>평일</v>
      </c>
    </row>
    <row r="611" spans="1:11" ht="21.75" customHeight="1" x14ac:dyDescent="0.25">
      <c r="A611" s="2">
        <f t="shared" si="45"/>
        <v>2022</v>
      </c>
      <c r="B611" s="2">
        <f t="shared" si="46"/>
        <v>6</v>
      </c>
      <c r="C611" s="2" t="str">
        <f t="shared" si="47"/>
        <v>수</v>
      </c>
      <c r="D611" s="3">
        <v>44720</v>
      </c>
      <c r="E611" s="7">
        <v>0</v>
      </c>
      <c r="F611" s="2">
        <v>0</v>
      </c>
      <c r="I611" s="1">
        <f>+COUNTIF(F$3:$F611,F611)</f>
        <v>131</v>
      </c>
      <c r="K611" s="132" t="str">
        <f t="shared" si="48"/>
        <v>평일</v>
      </c>
    </row>
    <row r="612" spans="1:11" ht="21.75" customHeight="1" x14ac:dyDescent="0.25">
      <c r="A612" s="2">
        <f t="shared" si="45"/>
        <v>2022</v>
      </c>
      <c r="B612" s="2">
        <f t="shared" si="46"/>
        <v>6</v>
      </c>
      <c r="C612" s="2" t="str">
        <f t="shared" si="47"/>
        <v>목</v>
      </c>
      <c r="D612" s="3">
        <v>44721</v>
      </c>
      <c r="E612" s="7">
        <v>0</v>
      </c>
      <c r="F612" s="2">
        <v>0</v>
      </c>
      <c r="I612" s="1">
        <f>+COUNTIF(F$3:$F612,F612)</f>
        <v>132</v>
      </c>
      <c r="K612" s="132" t="str">
        <f t="shared" si="48"/>
        <v>평일</v>
      </c>
    </row>
    <row r="613" spans="1:11" ht="21.75" customHeight="1" x14ac:dyDescent="0.25">
      <c r="A613" s="2">
        <f t="shared" si="45"/>
        <v>2022</v>
      </c>
      <c r="B613" s="2">
        <f t="shared" si="46"/>
        <v>6</v>
      </c>
      <c r="C613" s="2" t="str">
        <f t="shared" si="47"/>
        <v>금</v>
      </c>
      <c r="D613" s="3">
        <v>44722</v>
      </c>
      <c r="E613" s="7">
        <v>0</v>
      </c>
      <c r="F613" s="2">
        <v>0</v>
      </c>
      <c r="I613" s="1">
        <f>+COUNTIF(F$3:$F613,F613)</f>
        <v>133</v>
      </c>
      <c r="K613" s="132" t="str">
        <f t="shared" si="48"/>
        <v>평일</v>
      </c>
    </row>
    <row r="614" spans="1:11" ht="21.75" customHeight="1" x14ac:dyDescent="0.25">
      <c r="A614" s="2">
        <f t="shared" si="45"/>
        <v>2022</v>
      </c>
      <c r="B614" s="2">
        <f t="shared" si="46"/>
        <v>6</v>
      </c>
      <c r="C614" s="2" t="str">
        <f t="shared" si="47"/>
        <v>토</v>
      </c>
      <c r="D614" s="3">
        <v>44723</v>
      </c>
      <c r="E614" s="7">
        <v>0</v>
      </c>
      <c r="F614" s="2">
        <v>0</v>
      </c>
      <c r="I614" s="1">
        <f>+COUNTIF(F$3:$F614,F614)</f>
        <v>134</v>
      </c>
      <c r="K614" s="132" t="str">
        <f t="shared" si="48"/>
        <v>주말</v>
      </c>
    </row>
    <row r="615" spans="1:11" ht="21.75" customHeight="1" x14ac:dyDescent="0.25">
      <c r="A615" s="2">
        <f t="shared" si="45"/>
        <v>2022</v>
      </c>
      <c r="B615" s="2">
        <f t="shared" si="46"/>
        <v>6</v>
      </c>
      <c r="C615" s="2" t="str">
        <f t="shared" si="47"/>
        <v>일</v>
      </c>
      <c r="D615" s="3">
        <v>44724</v>
      </c>
      <c r="E615" s="7">
        <v>0</v>
      </c>
      <c r="F615" s="2">
        <v>0</v>
      </c>
      <c r="I615" s="1">
        <f>+COUNTIF(F$3:$F615,F615)</f>
        <v>135</v>
      </c>
      <c r="K615" s="132" t="str">
        <f t="shared" si="48"/>
        <v>주말</v>
      </c>
    </row>
    <row r="616" spans="1:11" ht="21.75" customHeight="1" x14ac:dyDescent="0.25">
      <c r="A616" s="2">
        <f t="shared" si="45"/>
        <v>2022</v>
      </c>
      <c r="B616" s="2">
        <f t="shared" si="46"/>
        <v>6</v>
      </c>
      <c r="C616" s="2" t="str">
        <f t="shared" si="47"/>
        <v>월</v>
      </c>
      <c r="D616" s="3">
        <v>44725</v>
      </c>
      <c r="E616" s="7">
        <v>0</v>
      </c>
      <c r="F616" s="2">
        <v>0</v>
      </c>
      <c r="I616" s="1">
        <f>+COUNTIF(F$3:$F616,F616)</f>
        <v>136</v>
      </c>
      <c r="K616" s="132" t="str">
        <f t="shared" si="48"/>
        <v>평일</v>
      </c>
    </row>
    <row r="617" spans="1:11" ht="21.75" customHeight="1" x14ac:dyDescent="0.25">
      <c r="A617" s="2">
        <f t="shared" si="45"/>
        <v>2022</v>
      </c>
      <c r="B617" s="2">
        <f t="shared" si="46"/>
        <v>6</v>
      </c>
      <c r="C617" s="2" t="str">
        <f t="shared" si="47"/>
        <v>화</v>
      </c>
      <c r="D617" s="3">
        <v>44726</v>
      </c>
      <c r="E617" s="7">
        <v>0</v>
      </c>
      <c r="F617" s="2">
        <v>0</v>
      </c>
      <c r="I617" s="1">
        <f>+COUNTIF(F$3:$F617,F617)</f>
        <v>137</v>
      </c>
      <c r="K617" s="132" t="str">
        <f t="shared" si="48"/>
        <v>평일</v>
      </c>
    </row>
    <row r="618" spans="1:11" ht="21.75" customHeight="1" x14ac:dyDescent="0.25">
      <c r="A618" s="2">
        <f t="shared" si="45"/>
        <v>2022</v>
      </c>
      <c r="B618" s="2">
        <f t="shared" si="46"/>
        <v>6</v>
      </c>
      <c r="C618" s="2" t="str">
        <f t="shared" si="47"/>
        <v>수</v>
      </c>
      <c r="D618" s="3">
        <v>44727</v>
      </c>
      <c r="E618" s="7">
        <v>0</v>
      </c>
      <c r="F618" s="2">
        <v>0</v>
      </c>
      <c r="I618" s="1">
        <f>+COUNTIF(F$3:$F618,F618)</f>
        <v>138</v>
      </c>
      <c r="K618" s="132" t="str">
        <f t="shared" si="48"/>
        <v>평일</v>
      </c>
    </row>
    <row r="619" spans="1:11" ht="21.75" customHeight="1" x14ac:dyDescent="0.25">
      <c r="A619" s="2">
        <f t="shared" si="45"/>
        <v>2022</v>
      </c>
      <c r="B619" s="2">
        <f t="shared" si="46"/>
        <v>6</v>
      </c>
      <c r="C619" s="2" t="str">
        <f t="shared" si="47"/>
        <v>목</v>
      </c>
      <c r="D619" s="3">
        <v>44728</v>
      </c>
      <c r="E619" s="7">
        <v>0</v>
      </c>
      <c r="F619" s="2">
        <v>0</v>
      </c>
      <c r="I619" s="1">
        <f>+COUNTIF(F$3:$F619,F619)</f>
        <v>139</v>
      </c>
      <c r="K619" s="132" t="str">
        <f t="shared" si="48"/>
        <v>평일</v>
      </c>
    </row>
    <row r="620" spans="1:11" ht="21.75" customHeight="1" x14ac:dyDescent="0.25">
      <c r="A620" s="2">
        <f t="shared" si="45"/>
        <v>2022</v>
      </c>
      <c r="B620" s="2">
        <f t="shared" si="46"/>
        <v>6</v>
      </c>
      <c r="C620" s="2" t="str">
        <f t="shared" si="47"/>
        <v>금</v>
      </c>
      <c r="D620" s="3">
        <v>44729</v>
      </c>
      <c r="E620" s="7">
        <v>0</v>
      </c>
      <c r="F620" s="2">
        <v>0</v>
      </c>
      <c r="I620" s="1">
        <f>+COUNTIF(F$3:$F620,F620)</f>
        <v>140</v>
      </c>
      <c r="K620" s="132" t="str">
        <f t="shared" si="48"/>
        <v>평일</v>
      </c>
    </row>
    <row r="621" spans="1:11" ht="21.75" customHeight="1" x14ac:dyDescent="0.25">
      <c r="A621" s="2">
        <f t="shared" si="45"/>
        <v>2022</v>
      </c>
      <c r="B621" s="2">
        <f t="shared" si="46"/>
        <v>6</v>
      </c>
      <c r="C621" s="2" t="str">
        <f t="shared" si="47"/>
        <v>토</v>
      </c>
      <c r="D621" s="3">
        <v>44730</v>
      </c>
      <c r="E621" s="7">
        <v>0</v>
      </c>
      <c r="F621" s="2">
        <v>0</v>
      </c>
      <c r="I621" s="1">
        <f>+COUNTIF(F$3:$F621,F621)</f>
        <v>141</v>
      </c>
      <c r="K621" s="132" t="str">
        <f t="shared" si="48"/>
        <v>주말</v>
      </c>
    </row>
    <row r="622" spans="1:11" ht="21.75" customHeight="1" x14ac:dyDescent="0.25">
      <c r="A622" s="2">
        <f t="shared" si="45"/>
        <v>2022</v>
      </c>
      <c r="B622" s="2">
        <f t="shared" si="46"/>
        <v>6</v>
      </c>
      <c r="C622" s="2" t="str">
        <f t="shared" si="47"/>
        <v>일</v>
      </c>
      <c r="D622" s="3">
        <v>44731</v>
      </c>
      <c r="E622" s="7">
        <v>0</v>
      </c>
      <c r="F622" s="2">
        <v>0</v>
      </c>
      <c r="I622" s="1">
        <f>+COUNTIF(F$3:$F622,F622)</f>
        <v>142</v>
      </c>
      <c r="K622" s="132" t="str">
        <f t="shared" si="48"/>
        <v>주말</v>
      </c>
    </row>
    <row r="623" spans="1:11" ht="21.75" customHeight="1" x14ac:dyDescent="0.25">
      <c r="A623" s="2">
        <f t="shared" si="45"/>
        <v>2022</v>
      </c>
      <c r="B623" s="2">
        <f t="shared" si="46"/>
        <v>6</v>
      </c>
      <c r="C623" s="2" t="str">
        <f t="shared" si="47"/>
        <v>월</v>
      </c>
      <c r="D623" s="3">
        <v>44732</v>
      </c>
      <c r="E623" s="7">
        <v>0</v>
      </c>
      <c r="F623" s="2">
        <v>0</v>
      </c>
      <c r="I623" s="1">
        <f>+COUNTIF(F$3:$F623,F623)</f>
        <v>143</v>
      </c>
      <c r="K623" s="132" t="str">
        <f t="shared" si="48"/>
        <v>평일</v>
      </c>
    </row>
    <row r="624" spans="1:11" ht="21.75" customHeight="1" x14ac:dyDescent="0.25">
      <c r="A624" s="2">
        <f t="shared" si="45"/>
        <v>2022</v>
      </c>
      <c r="B624" s="2">
        <f t="shared" si="46"/>
        <v>6</v>
      </c>
      <c r="C624" s="2" t="str">
        <f t="shared" si="47"/>
        <v>화</v>
      </c>
      <c r="D624" s="3">
        <v>44733</v>
      </c>
      <c r="E624" s="7">
        <v>0</v>
      </c>
      <c r="F624" s="2">
        <v>0</v>
      </c>
      <c r="I624" s="1">
        <f>+COUNTIF(F$3:$F624,F624)</f>
        <v>144</v>
      </c>
      <c r="K624" s="132" t="str">
        <f t="shared" si="48"/>
        <v>평일</v>
      </c>
    </row>
    <row r="625" spans="1:11" ht="21.75" customHeight="1" x14ac:dyDescent="0.25">
      <c r="A625" s="2">
        <f t="shared" si="45"/>
        <v>2022</v>
      </c>
      <c r="B625" s="2">
        <f t="shared" si="46"/>
        <v>6</v>
      </c>
      <c r="C625" s="2" t="str">
        <f t="shared" si="47"/>
        <v>수</v>
      </c>
      <c r="D625" s="3">
        <v>44734</v>
      </c>
      <c r="E625" s="7">
        <v>0</v>
      </c>
      <c r="F625" s="2">
        <v>0</v>
      </c>
      <c r="I625" s="1">
        <f>+COUNTIF(F$3:$F625,F625)</f>
        <v>145</v>
      </c>
      <c r="K625" s="132" t="str">
        <f t="shared" si="48"/>
        <v>평일</v>
      </c>
    </row>
    <row r="626" spans="1:11" ht="21.75" customHeight="1" x14ac:dyDescent="0.25">
      <c r="A626" s="2">
        <f t="shared" si="45"/>
        <v>2022</v>
      </c>
      <c r="B626" s="2">
        <f t="shared" si="46"/>
        <v>6</v>
      </c>
      <c r="C626" s="2" t="str">
        <f t="shared" si="47"/>
        <v>목</v>
      </c>
      <c r="D626" s="3">
        <v>44735</v>
      </c>
      <c r="E626" s="7">
        <v>0</v>
      </c>
      <c r="F626" s="2">
        <v>0</v>
      </c>
      <c r="I626" s="1">
        <f>+COUNTIF(F$3:$F626,F626)</f>
        <v>146</v>
      </c>
      <c r="K626" s="132" t="str">
        <f t="shared" si="48"/>
        <v>평일</v>
      </c>
    </row>
    <row r="627" spans="1:11" ht="21.75" customHeight="1" x14ac:dyDescent="0.25">
      <c r="A627" s="2">
        <f t="shared" si="45"/>
        <v>2022</v>
      </c>
      <c r="B627" s="2">
        <f t="shared" si="46"/>
        <v>6</v>
      </c>
      <c r="C627" s="2" t="str">
        <f t="shared" si="47"/>
        <v>금</v>
      </c>
      <c r="D627" s="3">
        <v>44736</v>
      </c>
      <c r="E627" s="7">
        <v>0</v>
      </c>
      <c r="F627" s="2">
        <v>0</v>
      </c>
      <c r="I627" s="1">
        <f>+COUNTIF(F$3:$F627,F627)</f>
        <v>147</v>
      </c>
      <c r="K627" s="132" t="str">
        <f t="shared" si="48"/>
        <v>평일</v>
      </c>
    </row>
    <row r="628" spans="1:11" ht="21.75" customHeight="1" x14ac:dyDescent="0.25">
      <c r="A628" s="2">
        <f t="shared" si="45"/>
        <v>2022</v>
      </c>
      <c r="B628" s="2">
        <f t="shared" si="46"/>
        <v>6</v>
      </c>
      <c r="C628" s="2" t="str">
        <f t="shared" si="47"/>
        <v>토</v>
      </c>
      <c r="D628" s="3">
        <v>44737</v>
      </c>
      <c r="E628" s="7">
        <v>0</v>
      </c>
      <c r="F628" s="2">
        <v>0</v>
      </c>
      <c r="I628" s="1">
        <f>+COUNTIF(F$3:$F628,F628)</f>
        <v>148</v>
      </c>
      <c r="K628" s="132" t="str">
        <f t="shared" si="48"/>
        <v>주말</v>
      </c>
    </row>
    <row r="629" spans="1:11" ht="21.75" customHeight="1" x14ac:dyDescent="0.25">
      <c r="A629" s="2">
        <f t="shared" si="45"/>
        <v>2022</v>
      </c>
      <c r="B629" s="2">
        <f t="shared" si="46"/>
        <v>6</v>
      </c>
      <c r="C629" s="2" t="str">
        <f t="shared" si="47"/>
        <v>일</v>
      </c>
      <c r="D629" s="3">
        <v>44738</v>
      </c>
      <c r="E629" s="7">
        <v>0</v>
      </c>
      <c r="F629" s="2">
        <v>0</v>
      </c>
      <c r="I629" s="1">
        <f>+COUNTIF(F$3:$F629,F629)</f>
        <v>149</v>
      </c>
      <c r="K629" s="132" t="str">
        <f t="shared" si="48"/>
        <v>주말</v>
      </c>
    </row>
    <row r="630" spans="1:11" ht="21.75" customHeight="1" x14ac:dyDescent="0.25">
      <c r="A630" s="2">
        <f t="shared" si="45"/>
        <v>2022</v>
      </c>
      <c r="B630" s="2">
        <f t="shared" si="46"/>
        <v>6</v>
      </c>
      <c r="C630" s="2" t="str">
        <f t="shared" si="47"/>
        <v>월</v>
      </c>
      <c r="D630" s="3">
        <v>44739</v>
      </c>
      <c r="E630" s="7">
        <v>0</v>
      </c>
      <c r="F630" s="2">
        <v>0</v>
      </c>
      <c r="I630" s="1">
        <f>+COUNTIF(F$3:$F630,F630)</f>
        <v>150</v>
      </c>
      <c r="K630" s="132" t="str">
        <f t="shared" si="48"/>
        <v>평일</v>
      </c>
    </row>
    <row r="631" spans="1:11" ht="21.75" customHeight="1" x14ac:dyDescent="0.25">
      <c r="A631" s="2">
        <f t="shared" si="45"/>
        <v>2022</v>
      </c>
      <c r="B631" s="2">
        <f t="shared" si="46"/>
        <v>6</v>
      </c>
      <c r="C631" s="2" t="str">
        <f t="shared" si="47"/>
        <v>화</v>
      </c>
      <c r="D631" s="3">
        <v>44740</v>
      </c>
      <c r="E631" s="7">
        <v>0</v>
      </c>
      <c r="F631" s="2">
        <v>0</v>
      </c>
      <c r="I631" s="1">
        <f>+COUNTIF(F$3:$F631,F631)</f>
        <v>151</v>
      </c>
      <c r="K631" s="132" t="str">
        <f t="shared" si="48"/>
        <v>평일</v>
      </c>
    </row>
    <row r="632" spans="1:11" ht="21.75" customHeight="1" x14ac:dyDescent="0.25">
      <c r="A632" s="2">
        <f t="shared" si="45"/>
        <v>2022</v>
      </c>
      <c r="B632" s="2">
        <f t="shared" si="46"/>
        <v>6</v>
      </c>
      <c r="C632" s="2" t="str">
        <f t="shared" si="47"/>
        <v>수</v>
      </c>
      <c r="D632" s="3">
        <v>44741</v>
      </c>
      <c r="E632" s="7">
        <v>0</v>
      </c>
      <c r="F632" s="2">
        <v>0</v>
      </c>
      <c r="I632" s="1">
        <f>+COUNTIF(F$3:$F632,F632)</f>
        <v>152</v>
      </c>
      <c r="K632" s="132" t="str">
        <f t="shared" si="48"/>
        <v>평일</v>
      </c>
    </row>
    <row r="633" spans="1:11" ht="21.75" customHeight="1" x14ac:dyDescent="0.25">
      <c r="A633" s="2">
        <f t="shared" si="45"/>
        <v>2022</v>
      </c>
      <c r="B633" s="2">
        <f t="shared" si="46"/>
        <v>6</v>
      </c>
      <c r="C633" s="2" t="str">
        <f t="shared" si="47"/>
        <v>목</v>
      </c>
      <c r="D633" s="3">
        <v>44742</v>
      </c>
      <c r="E633" s="7">
        <v>0</v>
      </c>
      <c r="F633" s="2">
        <v>0</v>
      </c>
      <c r="I633" s="1">
        <f>+COUNTIF(F$3:$F633,F633)</f>
        <v>153</v>
      </c>
      <c r="K633" s="132" t="str">
        <f t="shared" si="48"/>
        <v>평일</v>
      </c>
    </row>
    <row r="634" spans="1:11" ht="21.75" customHeight="1" x14ac:dyDescent="0.25">
      <c r="A634" s="2">
        <f t="shared" si="45"/>
        <v>2022</v>
      </c>
      <c r="B634" s="2">
        <f t="shared" si="46"/>
        <v>7</v>
      </c>
      <c r="C634" s="2" t="str">
        <f t="shared" si="47"/>
        <v>금</v>
      </c>
      <c r="D634" s="3">
        <v>44743</v>
      </c>
      <c r="E634" s="7">
        <v>0</v>
      </c>
      <c r="F634" s="2">
        <v>0</v>
      </c>
      <c r="I634" s="1">
        <f>+COUNTIF(F$3:$F634,F634)</f>
        <v>154</v>
      </c>
      <c r="K634" s="132" t="str">
        <f t="shared" si="48"/>
        <v>평일</v>
      </c>
    </row>
    <row r="635" spans="1:11" ht="21.75" customHeight="1" x14ac:dyDescent="0.25">
      <c r="A635" s="2">
        <f t="shared" si="45"/>
        <v>2022</v>
      </c>
      <c r="B635" s="2">
        <f t="shared" si="46"/>
        <v>7</v>
      </c>
      <c r="C635" s="2" t="str">
        <f t="shared" si="47"/>
        <v>토</v>
      </c>
      <c r="D635" s="3">
        <v>44744</v>
      </c>
      <c r="E635" s="7">
        <v>0</v>
      </c>
      <c r="F635" s="2">
        <v>0</v>
      </c>
      <c r="I635" s="1">
        <f>+COUNTIF(F$3:$F635,F635)</f>
        <v>155</v>
      </c>
      <c r="K635" s="132" t="str">
        <f t="shared" si="48"/>
        <v>주말</v>
      </c>
    </row>
    <row r="636" spans="1:11" ht="21.75" customHeight="1" x14ac:dyDescent="0.25">
      <c r="A636" s="2">
        <f t="shared" si="45"/>
        <v>2022</v>
      </c>
      <c r="B636" s="2">
        <f t="shared" si="46"/>
        <v>7</v>
      </c>
      <c r="C636" s="2" t="str">
        <f t="shared" si="47"/>
        <v>일</v>
      </c>
      <c r="D636" s="3">
        <v>44745</v>
      </c>
      <c r="E636" s="7">
        <v>0</v>
      </c>
      <c r="F636" s="2">
        <v>0</v>
      </c>
      <c r="I636" s="1">
        <f>+COUNTIF(F$3:$F636,F636)</f>
        <v>156</v>
      </c>
      <c r="K636" s="132" t="str">
        <f t="shared" si="48"/>
        <v>주말</v>
      </c>
    </row>
    <row r="637" spans="1:11" ht="21.75" customHeight="1" x14ac:dyDescent="0.25">
      <c r="A637" s="2">
        <f t="shared" si="45"/>
        <v>2022</v>
      </c>
      <c r="B637" s="2">
        <f t="shared" si="46"/>
        <v>7</v>
      </c>
      <c r="C637" s="2" t="str">
        <f t="shared" si="47"/>
        <v>월</v>
      </c>
      <c r="D637" s="3">
        <v>44746</v>
      </c>
      <c r="E637" s="7">
        <v>0</v>
      </c>
      <c r="F637" s="2">
        <v>0</v>
      </c>
      <c r="I637" s="1">
        <f>+COUNTIF(F$3:$F637,F637)</f>
        <v>157</v>
      </c>
      <c r="K637" s="132" t="str">
        <f t="shared" si="48"/>
        <v>평일</v>
      </c>
    </row>
    <row r="638" spans="1:11" ht="21.75" customHeight="1" x14ac:dyDescent="0.25">
      <c r="A638" s="2">
        <f t="shared" si="45"/>
        <v>2022</v>
      </c>
      <c r="B638" s="2">
        <f t="shared" si="46"/>
        <v>7</v>
      </c>
      <c r="C638" s="2" t="str">
        <f t="shared" si="47"/>
        <v>화</v>
      </c>
      <c r="D638" s="3">
        <v>44747</v>
      </c>
      <c r="E638" s="7">
        <v>0</v>
      </c>
      <c r="F638" s="2">
        <v>0</v>
      </c>
      <c r="I638" s="1">
        <f>+COUNTIF(F$3:$F638,F638)</f>
        <v>158</v>
      </c>
      <c r="K638" s="132" t="str">
        <f t="shared" si="48"/>
        <v>평일</v>
      </c>
    </row>
    <row r="639" spans="1:11" ht="21.75" customHeight="1" x14ac:dyDescent="0.25">
      <c r="A639" s="2">
        <f t="shared" si="45"/>
        <v>2022</v>
      </c>
      <c r="B639" s="2">
        <f t="shared" si="46"/>
        <v>7</v>
      </c>
      <c r="C639" s="2" t="str">
        <f t="shared" si="47"/>
        <v>수</v>
      </c>
      <c r="D639" s="3">
        <v>44748</v>
      </c>
      <c r="E639" s="7">
        <v>0</v>
      </c>
      <c r="F639" s="2">
        <v>0</v>
      </c>
      <c r="I639" s="1">
        <f>+COUNTIF(F$3:$F639,F639)</f>
        <v>159</v>
      </c>
      <c r="K639" s="132" t="str">
        <f t="shared" si="48"/>
        <v>평일</v>
      </c>
    </row>
    <row r="640" spans="1:11" ht="21.75" customHeight="1" x14ac:dyDescent="0.25">
      <c r="A640" s="2">
        <f t="shared" si="45"/>
        <v>2022</v>
      </c>
      <c r="B640" s="2">
        <f t="shared" si="46"/>
        <v>7</v>
      </c>
      <c r="C640" s="2" t="str">
        <f t="shared" si="47"/>
        <v>목</v>
      </c>
      <c r="D640" s="3">
        <v>44749</v>
      </c>
      <c r="E640" s="7">
        <v>0</v>
      </c>
      <c r="F640" s="2">
        <v>0</v>
      </c>
      <c r="I640" s="1">
        <f>+COUNTIF(F$3:$F640,F640)</f>
        <v>160</v>
      </c>
      <c r="K640" s="132" t="str">
        <f t="shared" si="48"/>
        <v>평일</v>
      </c>
    </row>
    <row r="641" spans="1:11" ht="21.75" customHeight="1" x14ac:dyDescent="0.25">
      <c r="A641" s="2">
        <f t="shared" si="45"/>
        <v>2022</v>
      </c>
      <c r="B641" s="2">
        <f t="shared" si="46"/>
        <v>7</v>
      </c>
      <c r="C641" s="2" t="str">
        <f t="shared" si="47"/>
        <v>금</v>
      </c>
      <c r="D641" s="3">
        <v>44750</v>
      </c>
      <c r="E641" s="7">
        <v>0</v>
      </c>
      <c r="F641" s="2">
        <v>0</v>
      </c>
      <c r="I641" s="1">
        <f>+COUNTIF(F$3:$F641,F641)</f>
        <v>161</v>
      </c>
      <c r="K641" s="132" t="str">
        <f t="shared" si="48"/>
        <v>평일</v>
      </c>
    </row>
    <row r="642" spans="1:11" ht="21.75" customHeight="1" x14ac:dyDescent="0.25">
      <c r="A642" s="2">
        <f t="shared" si="45"/>
        <v>2022</v>
      </c>
      <c r="B642" s="2">
        <f t="shared" si="46"/>
        <v>7</v>
      </c>
      <c r="C642" s="2" t="str">
        <f t="shared" si="47"/>
        <v>토</v>
      </c>
      <c r="D642" s="3">
        <v>44751</v>
      </c>
      <c r="E642" s="7">
        <v>0</v>
      </c>
      <c r="F642" s="2">
        <v>0</v>
      </c>
      <c r="I642" s="1">
        <f>+COUNTIF(F$3:$F642,F642)</f>
        <v>162</v>
      </c>
      <c r="K642" s="132" t="str">
        <f t="shared" si="48"/>
        <v>주말</v>
      </c>
    </row>
    <row r="643" spans="1:11" ht="21.75" customHeight="1" x14ac:dyDescent="0.25">
      <c r="A643" s="2">
        <f t="shared" si="45"/>
        <v>2022</v>
      </c>
      <c r="B643" s="2">
        <f t="shared" si="46"/>
        <v>7</v>
      </c>
      <c r="C643" s="2" t="str">
        <f t="shared" si="47"/>
        <v>일</v>
      </c>
      <c r="D643" s="3">
        <v>44752</v>
      </c>
      <c r="E643" s="7">
        <v>0</v>
      </c>
      <c r="F643" s="2">
        <v>0</v>
      </c>
      <c r="I643" s="1">
        <f>+COUNTIF(F$3:$F643,F643)</f>
        <v>163</v>
      </c>
      <c r="K643" s="132" t="str">
        <f t="shared" si="48"/>
        <v>주말</v>
      </c>
    </row>
    <row r="644" spans="1:11" ht="21.75" customHeight="1" x14ac:dyDescent="0.25">
      <c r="A644" s="2">
        <f t="shared" ref="A644:A707" si="49">+YEAR(D644)</f>
        <v>2022</v>
      </c>
      <c r="B644" s="2">
        <f t="shared" ref="B644:B707" si="50">+MONTH(D644)</f>
        <v>7</v>
      </c>
      <c r="C644" s="2" t="str">
        <f t="shared" ref="C644:C707" si="51">+TEXT(D644,"aaa")</f>
        <v>월</v>
      </c>
      <c r="D644" s="3">
        <v>44753</v>
      </c>
      <c r="E644" s="7">
        <v>0</v>
      </c>
      <c r="F644" s="2">
        <v>0</v>
      </c>
      <c r="I644" s="1">
        <f>+COUNTIF(F$3:$F644,F644)</f>
        <v>164</v>
      </c>
      <c r="K644" s="132" t="str">
        <f t="shared" ref="K644:K707" si="52">+IF(OR(C644="토",C644="일"),"주말","평일")</f>
        <v>평일</v>
      </c>
    </row>
    <row r="645" spans="1:11" ht="21.75" customHeight="1" x14ac:dyDescent="0.25">
      <c r="A645" s="2">
        <f t="shared" si="49"/>
        <v>2022</v>
      </c>
      <c r="B645" s="2">
        <f t="shared" si="50"/>
        <v>7</v>
      </c>
      <c r="C645" s="2" t="str">
        <f t="shared" si="51"/>
        <v>화</v>
      </c>
      <c r="D645" s="3">
        <v>44754</v>
      </c>
      <c r="E645" s="7">
        <v>0</v>
      </c>
      <c r="F645" s="2">
        <v>0</v>
      </c>
      <c r="I645" s="1">
        <f>+COUNTIF(F$3:$F645,F645)</f>
        <v>165</v>
      </c>
      <c r="K645" s="132" t="str">
        <f t="shared" si="52"/>
        <v>평일</v>
      </c>
    </row>
    <row r="646" spans="1:11" ht="21.75" customHeight="1" x14ac:dyDescent="0.25">
      <c r="A646" s="2">
        <f t="shared" si="49"/>
        <v>2022</v>
      </c>
      <c r="B646" s="2">
        <f t="shared" si="50"/>
        <v>7</v>
      </c>
      <c r="C646" s="2" t="str">
        <f t="shared" si="51"/>
        <v>수</v>
      </c>
      <c r="D646" s="3">
        <v>44755</v>
      </c>
      <c r="E646" s="7">
        <v>0</v>
      </c>
      <c r="F646" s="2">
        <v>0</v>
      </c>
      <c r="I646" s="1">
        <f>+COUNTIF(F$3:$F646,F646)</f>
        <v>166</v>
      </c>
      <c r="K646" s="132" t="str">
        <f t="shared" si="52"/>
        <v>평일</v>
      </c>
    </row>
    <row r="647" spans="1:11" ht="21.75" customHeight="1" x14ac:dyDescent="0.25">
      <c r="A647" s="2">
        <f t="shared" si="49"/>
        <v>2022</v>
      </c>
      <c r="B647" s="2">
        <f t="shared" si="50"/>
        <v>7</v>
      </c>
      <c r="C647" s="2" t="str">
        <f t="shared" si="51"/>
        <v>목</v>
      </c>
      <c r="D647" s="3">
        <v>44756</v>
      </c>
      <c r="E647" s="7">
        <v>0</v>
      </c>
      <c r="F647" s="2">
        <v>0</v>
      </c>
      <c r="I647" s="1">
        <f>+COUNTIF(F$3:$F647,F647)</f>
        <v>167</v>
      </c>
      <c r="K647" s="132" t="str">
        <f t="shared" si="52"/>
        <v>평일</v>
      </c>
    </row>
    <row r="648" spans="1:11" ht="21.75" customHeight="1" x14ac:dyDescent="0.25">
      <c r="A648" s="2">
        <f t="shared" si="49"/>
        <v>2022</v>
      </c>
      <c r="B648" s="2">
        <f t="shared" si="50"/>
        <v>7</v>
      </c>
      <c r="C648" s="2" t="str">
        <f t="shared" si="51"/>
        <v>금</v>
      </c>
      <c r="D648" s="3">
        <v>44757</v>
      </c>
      <c r="E648" s="7">
        <v>0</v>
      </c>
      <c r="F648" s="2">
        <v>0</v>
      </c>
      <c r="I648" s="1">
        <f>+COUNTIF(F$3:$F648,F648)</f>
        <v>168</v>
      </c>
      <c r="K648" s="132" t="str">
        <f t="shared" si="52"/>
        <v>평일</v>
      </c>
    </row>
    <row r="649" spans="1:11" ht="21.75" customHeight="1" x14ac:dyDescent="0.25">
      <c r="A649" s="2">
        <f t="shared" si="49"/>
        <v>2022</v>
      </c>
      <c r="B649" s="2">
        <f t="shared" si="50"/>
        <v>7</v>
      </c>
      <c r="C649" s="2" t="str">
        <f t="shared" si="51"/>
        <v>토</v>
      </c>
      <c r="D649" s="3">
        <v>44758</v>
      </c>
      <c r="E649" s="7">
        <v>0</v>
      </c>
      <c r="F649" s="2">
        <v>0</v>
      </c>
      <c r="I649" s="1">
        <f>+COUNTIF(F$3:$F649,F649)</f>
        <v>169</v>
      </c>
      <c r="K649" s="132" t="str">
        <f t="shared" si="52"/>
        <v>주말</v>
      </c>
    </row>
    <row r="650" spans="1:11" ht="21.75" customHeight="1" x14ac:dyDescent="0.25">
      <c r="A650" s="2">
        <f t="shared" si="49"/>
        <v>2022</v>
      </c>
      <c r="B650" s="2">
        <f t="shared" si="50"/>
        <v>7</v>
      </c>
      <c r="C650" s="2" t="str">
        <f t="shared" si="51"/>
        <v>일</v>
      </c>
      <c r="D650" s="3">
        <v>44759</v>
      </c>
      <c r="E650" s="7">
        <v>0</v>
      </c>
      <c r="F650" s="2">
        <v>0</v>
      </c>
      <c r="I650" s="1">
        <f>+COUNTIF(F$3:$F650,F650)</f>
        <v>170</v>
      </c>
      <c r="K650" s="132" t="str">
        <f t="shared" si="52"/>
        <v>주말</v>
      </c>
    </row>
    <row r="651" spans="1:11" ht="21.75" customHeight="1" x14ac:dyDescent="0.25">
      <c r="A651" s="2">
        <f t="shared" si="49"/>
        <v>2022</v>
      </c>
      <c r="B651" s="2">
        <f t="shared" si="50"/>
        <v>7</v>
      </c>
      <c r="C651" s="2" t="str">
        <f t="shared" si="51"/>
        <v>월</v>
      </c>
      <c r="D651" s="3">
        <v>44760</v>
      </c>
      <c r="E651" s="7">
        <v>0</v>
      </c>
      <c r="F651" s="2">
        <v>0</v>
      </c>
      <c r="I651" s="1">
        <f>+COUNTIF(F$3:$F651,F651)</f>
        <v>171</v>
      </c>
      <c r="K651" s="132" t="str">
        <f t="shared" si="52"/>
        <v>평일</v>
      </c>
    </row>
    <row r="652" spans="1:11" ht="21.75" customHeight="1" x14ac:dyDescent="0.25">
      <c r="A652" s="2">
        <f t="shared" si="49"/>
        <v>2022</v>
      </c>
      <c r="B652" s="2">
        <f t="shared" si="50"/>
        <v>7</v>
      </c>
      <c r="C652" s="2" t="str">
        <f t="shared" si="51"/>
        <v>화</v>
      </c>
      <c r="D652" s="3">
        <v>44761</v>
      </c>
      <c r="E652" s="7">
        <v>0</v>
      </c>
      <c r="F652" s="2">
        <v>0</v>
      </c>
      <c r="I652" s="1">
        <f>+COUNTIF(F$3:$F652,F652)</f>
        <v>172</v>
      </c>
      <c r="K652" s="132" t="str">
        <f t="shared" si="52"/>
        <v>평일</v>
      </c>
    </row>
    <row r="653" spans="1:11" ht="21.75" customHeight="1" x14ac:dyDescent="0.25">
      <c r="A653" s="2">
        <f t="shared" si="49"/>
        <v>2022</v>
      </c>
      <c r="B653" s="2">
        <f t="shared" si="50"/>
        <v>7</v>
      </c>
      <c r="C653" s="2" t="str">
        <f t="shared" si="51"/>
        <v>수</v>
      </c>
      <c r="D653" s="3">
        <v>44762</v>
      </c>
      <c r="E653" s="7">
        <v>0</v>
      </c>
      <c r="F653" s="2">
        <v>0</v>
      </c>
      <c r="I653" s="1">
        <f>+COUNTIF(F$3:$F653,F653)</f>
        <v>173</v>
      </c>
      <c r="K653" s="132" t="str">
        <f t="shared" si="52"/>
        <v>평일</v>
      </c>
    </row>
    <row r="654" spans="1:11" ht="21.75" customHeight="1" x14ac:dyDescent="0.25">
      <c r="A654" s="2">
        <f t="shared" si="49"/>
        <v>2022</v>
      </c>
      <c r="B654" s="2">
        <f t="shared" si="50"/>
        <v>7</v>
      </c>
      <c r="C654" s="2" t="str">
        <f t="shared" si="51"/>
        <v>목</v>
      </c>
      <c r="D654" s="3">
        <v>44763</v>
      </c>
      <c r="E654" s="7">
        <v>0</v>
      </c>
      <c r="F654" s="2">
        <v>0</v>
      </c>
      <c r="I654" s="1">
        <f>+COUNTIF(F$3:$F654,F654)</f>
        <v>174</v>
      </c>
      <c r="K654" s="132" t="str">
        <f t="shared" si="52"/>
        <v>평일</v>
      </c>
    </row>
    <row r="655" spans="1:11" ht="21.75" customHeight="1" x14ac:dyDescent="0.25">
      <c r="A655" s="2">
        <f t="shared" si="49"/>
        <v>2022</v>
      </c>
      <c r="B655" s="2">
        <f t="shared" si="50"/>
        <v>7</v>
      </c>
      <c r="C655" s="2" t="str">
        <f t="shared" si="51"/>
        <v>금</v>
      </c>
      <c r="D655" s="3">
        <v>44764</v>
      </c>
      <c r="E655" s="7">
        <v>0</v>
      </c>
      <c r="F655" s="2">
        <v>0</v>
      </c>
      <c r="I655" s="1">
        <f>+COUNTIF(F$3:$F655,F655)</f>
        <v>175</v>
      </c>
      <c r="K655" s="132" t="str">
        <f t="shared" si="52"/>
        <v>평일</v>
      </c>
    </row>
    <row r="656" spans="1:11" ht="21.75" customHeight="1" x14ac:dyDescent="0.25">
      <c r="A656" s="2">
        <f t="shared" si="49"/>
        <v>2022</v>
      </c>
      <c r="B656" s="2">
        <f t="shared" si="50"/>
        <v>7</v>
      </c>
      <c r="C656" s="2" t="str">
        <f t="shared" si="51"/>
        <v>토</v>
      </c>
      <c r="D656" s="3">
        <v>44765</v>
      </c>
      <c r="E656" s="7">
        <v>0</v>
      </c>
      <c r="F656" s="2">
        <v>0</v>
      </c>
      <c r="I656" s="1">
        <f>+COUNTIF(F$3:$F656,F656)</f>
        <v>176</v>
      </c>
      <c r="K656" s="132" t="str">
        <f t="shared" si="52"/>
        <v>주말</v>
      </c>
    </row>
    <row r="657" spans="1:11" ht="21.75" customHeight="1" x14ac:dyDescent="0.25">
      <c r="A657" s="2">
        <f t="shared" si="49"/>
        <v>2022</v>
      </c>
      <c r="B657" s="2">
        <f t="shared" si="50"/>
        <v>7</v>
      </c>
      <c r="C657" s="2" t="str">
        <f t="shared" si="51"/>
        <v>일</v>
      </c>
      <c r="D657" s="3">
        <v>44766</v>
      </c>
      <c r="E657" s="7">
        <v>0</v>
      </c>
      <c r="F657" s="2">
        <v>0</v>
      </c>
      <c r="I657" s="1">
        <f>+COUNTIF(F$3:$F657,F657)</f>
        <v>177</v>
      </c>
      <c r="K657" s="132" t="str">
        <f t="shared" si="52"/>
        <v>주말</v>
      </c>
    </row>
    <row r="658" spans="1:11" ht="21.75" customHeight="1" x14ac:dyDescent="0.25">
      <c r="A658" s="2">
        <f t="shared" si="49"/>
        <v>2022</v>
      </c>
      <c r="B658" s="2">
        <f t="shared" si="50"/>
        <v>7</v>
      </c>
      <c r="C658" s="2" t="str">
        <f t="shared" si="51"/>
        <v>월</v>
      </c>
      <c r="D658" s="3">
        <v>44767</v>
      </c>
      <c r="E658" s="7">
        <v>0</v>
      </c>
      <c r="F658" s="2">
        <v>0</v>
      </c>
      <c r="I658" s="1">
        <f>+COUNTIF(F$3:$F658,F658)</f>
        <v>178</v>
      </c>
      <c r="K658" s="132" t="str">
        <f t="shared" si="52"/>
        <v>평일</v>
      </c>
    </row>
    <row r="659" spans="1:11" ht="21.75" customHeight="1" x14ac:dyDescent="0.25">
      <c r="A659" s="2">
        <f t="shared" si="49"/>
        <v>2022</v>
      </c>
      <c r="B659" s="2">
        <f t="shared" si="50"/>
        <v>7</v>
      </c>
      <c r="C659" s="2" t="str">
        <f t="shared" si="51"/>
        <v>화</v>
      </c>
      <c r="D659" s="3">
        <v>44768</v>
      </c>
      <c r="E659" s="7">
        <v>0</v>
      </c>
      <c r="F659" s="2">
        <v>0</v>
      </c>
      <c r="I659" s="1">
        <f>+COUNTIF(F$3:$F659,F659)</f>
        <v>179</v>
      </c>
      <c r="K659" s="132" t="str">
        <f t="shared" si="52"/>
        <v>평일</v>
      </c>
    </row>
    <row r="660" spans="1:11" ht="21.75" customHeight="1" x14ac:dyDescent="0.25">
      <c r="A660" s="2">
        <f t="shared" si="49"/>
        <v>2022</v>
      </c>
      <c r="B660" s="2">
        <f t="shared" si="50"/>
        <v>7</v>
      </c>
      <c r="C660" s="2" t="str">
        <f t="shared" si="51"/>
        <v>수</v>
      </c>
      <c r="D660" s="3">
        <v>44769</v>
      </c>
      <c r="E660" s="7">
        <v>0</v>
      </c>
      <c r="F660" s="2">
        <v>0</v>
      </c>
      <c r="I660" s="1">
        <f>+COUNTIF(F$3:$F660,F660)</f>
        <v>180</v>
      </c>
      <c r="K660" s="132" t="str">
        <f t="shared" si="52"/>
        <v>평일</v>
      </c>
    </row>
    <row r="661" spans="1:11" ht="21.75" customHeight="1" x14ac:dyDescent="0.25">
      <c r="A661" s="2">
        <f t="shared" si="49"/>
        <v>2022</v>
      </c>
      <c r="B661" s="2">
        <f t="shared" si="50"/>
        <v>7</v>
      </c>
      <c r="C661" s="2" t="str">
        <f t="shared" si="51"/>
        <v>목</v>
      </c>
      <c r="D661" s="3">
        <v>44770</v>
      </c>
      <c r="E661" s="7">
        <v>0</v>
      </c>
      <c r="F661" s="2">
        <v>0</v>
      </c>
      <c r="I661" s="1">
        <f>+COUNTIF(F$3:$F661,F661)</f>
        <v>181</v>
      </c>
      <c r="K661" s="132" t="str">
        <f t="shared" si="52"/>
        <v>평일</v>
      </c>
    </row>
    <row r="662" spans="1:11" ht="21.75" customHeight="1" x14ac:dyDescent="0.25">
      <c r="A662" s="2">
        <f t="shared" si="49"/>
        <v>2022</v>
      </c>
      <c r="B662" s="2">
        <f t="shared" si="50"/>
        <v>7</v>
      </c>
      <c r="C662" s="2" t="str">
        <f t="shared" si="51"/>
        <v>금</v>
      </c>
      <c r="D662" s="3">
        <v>44771</v>
      </c>
      <c r="E662" s="7">
        <v>342</v>
      </c>
      <c r="F662" s="2" t="s">
        <v>11</v>
      </c>
      <c r="G662" s="1">
        <v>39</v>
      </c>
      <c r="H662" s="6">
        <f>+E662-G662</f>
        <v>303</v>
      </c>
      <c r="I662" s="1">
        <f>+COUNTIF(F$3:$F662,F662)</f>
        <v>1</v>
      </c>
      <c r="K662" s="132" t="str">
        <f t="shared" si="52"/>
        <v>평일</v>
      </c>
    </row>
    <row r="663" spans="1:11" ht="21.75" customHeight="1" x14ac:dyDescent="0.25">
      <c r="A663" s="2">
        <f t="shared" si="49"/>
        <v>2022</v>
      </c>
      <c r="B663" s="2">
        <f t="shared" si="50"/>
        <v>7</v>
      </c>
      <c r="C663" s="2" t="str">
        <f t="shared" si="51"/>
        <v>토</v>
      </c>
      <c r="D663" s="3">
        <v>44772</v>
      </c>
      <c r="E663" s="7">
        <v>453</v>
      </c>
      <c r="F663" s="2" t="s">
        <v>11</v>
      </c>
      <c r="G663" s="1">
        <v>92</v>
      </c>
      <c r="H663" s="6">
        <f t="shared" ref="H663:H726" si="53">+E663-G663</f>
        <v>361</v>
      </c>
      <c r="I663" s="1">
        <f>+COUNTIF(F$3:$F663,F663)</f>
        <v>2</v>
      </c>
      <c r="K663" s="132" t="str">
        <f t="shared" si="52"/>
        <v>주말</v>
      </c>
    </row>
    <row r="664" spans="1:11" ht="21.75" customHeight="1" x14ac:dyDescent="0.25">
      <c r="A664" s="2">
        <f t="shared" si="49"/>
        <v>2022</v>
      </c>
      <c r="B664" s="2">
        <f t="shared" si="50"/>
        <v>7</v>
      </c>
      <c r="C664" s="2" t="str">
        <f t="shared" si="51"/>
        <v>일</v>
      </c>
      <c r="D664" s="3">
        <v>44773</v>
      </c>
      <c r="E664" s="7">
        <v>338</v>
      </c>
      <c r="F664" s="2" t="s">
        <v>11</v>
      </c>
      <c r="G664" s="1">
        <v>50</v>
      </c>
      <c r="H664" s="6">
        <f t="shared" si="53"/>
        <v>288</v>
      </c>
      <c r="I664" s="1">
        <f>+COUNTIF(F$3:$F664,F664)</f>
        <v>3</v>
      </c>
      <c r="K664" s="132" t="str">
        <f t="shared" si="52"/>
        <v>주말</v>
      </c>
    </row>
    <row r="665" spans="1:11" ht="21.75" customHeight="1" x14ac:dyDescent="0.25">
      <c r="A665" s="2">
        <f t="shared" si="49"/>
        <v>2022</v>
      </c>
      <c r="B665" s="2">
        <f t="shared" si="50"/>
        <v>8</v>
      </c>
      <c r="C665" s="2" t="str">
        <f t="shared" si="51"/>
        <v>월</v>
      </c>
      <c r="D665" s="3">
        <v>44774</v>
      </c>
      <c r="E665" s="7">
        <v>212</v>
      </c>
      <c r="F665" s="2" t="s">
        <v>11</v>
      </c>
      <c r="G665" s="1">
        <v>20</v>
      </c>
      <c r="H665" s="6">
        <f t="shared" si="53"/>
        <v>192</v>
      </c>
      <c r="I665" s="1">
        <f>+COUNTIF(F$3:$F665,F665)</f>
        <v>4</v>
      </c>
      <c r="K665" s="132" t="str">
        <f t="shared" si="52"/>
        <v>평일</v>
      </c>
    </row>
    <row r="666" spans="1:11" ht="21.75" customHeight="1" x14ac:dyDescent="0.25">
      <c r="A666" s="2">
        <f t="shared" si="49"/>
        <v>2022</v>
      </c>
      <c r="B666" s="2">
        <f t="shared" si="50"/>
        <v>8</v>
      </c>
      <c r="C666" s="2" t="str">
        <f t="shared" si="51"/>
        <v>화</v>
      </c>
      <c r="D666" s="3">
        <v>44775</v>
      </c>
      <c r="E666" s="7">
        <v>211</v>
      </c>
      <c r="F666" s="2" t="s">
        <v>11</v>
      </c>
      <c r="G666" s="1">
        <v>28</v>
      </c>
      <c r="H666" s="6">
        <f t="shared" si="53"/>
        <v>183</v>
      </c>
      <c r="I666" s="1">
        <f>+COUNTIF(F$3:$F666,F666)</f>
        <v>5</v>
      </c>
      <c r="K666" s="132" t="str">
        <f t="shared" si="52"/>
        <v>평일</v>
      </c>
    </row>
    <row r="667" spans="1:11" ht="21.75" customHeight="1" x14ac:dyDescent="0.25">
      <c r="A667" s="2">
        <f t="shared" si="49"/>
        <v>2022</v>
      </c>
      <c r="B667" s="2">
        <f t="shared" si="50"/>
        <v>8</v>
      </c>
      <c r="C667" s="2" t="str">
        <f t="shared" si="51"/>
        <v>수</v>
      </c>
      <c r="D667" s="3">
        <v>44776</v>
      </c>
      <c r="E667" s="7">
        <v>302</v>
      </c>
      <c r="F667" s="2" t="s">
        <v>11</v>
      </c>
      <c r="G667" s="1">
        <v>33</v>
      </c>
      <c r="H667" s="6">
        <f t="shared" si="53"/>
        <v>269</v>
      </c>
      <c r="I667" s="1">
        <f>+COUNTIF(F$3:$F667,F667)</f>
        <v>6</v>
      </c>
      <c r="K667" s="132" t="str">
        <f t="shared" si="52"/>
        <v>평일</v>
      </c>
    </row>
    <row r="668" spans="1:11" ht="21.75" customHeight="1" x14ac:dyDescent="0.25">
      <c r="A668" s="2">
        <f t="shared" si="49"/>
        <v>2022</v>
      </c>
      <c r="B668" s="2">
        <f t="shared" si="50"/>
        <v>8</v>
      </c>
      <c r="C668" s="2" t="str">
        <f t="shared" si="51"/>
        <v>목</v>
      </c>
      <c r="D668" s="3">
        <v>44777</v>
      </c>
      <c r="E668" s="7">
        <v>232</v>
      </c>
      <c r="F668" s="2" t="s">
        <v>11</v>
      </c>
      <c r="G668" s="1">
        <v>62</v>
      </c>
      <c r="H668" s="6">
        <f t="shared" si="53"/>
        <v>170</v>
      </c>
      <c r="I668" s="1">
        <f>+COUNTIF(F$3:$F668,F668)</f>
        <v>7</v>
      </c>
      <c r="K668" s="132" t="str">
        <f t="shared" si="52"/>
        <v>평일</v>
      </c>
    </row>
    <row r="669" spans="1:11" ht="21.75" customHeight="1" x14ac:dyDescent="0.25">
      <c r="A669" s="2">
        <f t="shared" si="49"/>
        <v>2022</v>
      </c>
      <c r="B669" s="2">
        <f t="shared" si="50"/>
        <v>8</v>
      </c>
      <c r="C669" s="2" t="str">
        <f t="shared" si="51"/>
        <v>금</v>
      </c>
      <c r="D669" s="3">
        <v>44778</v>
      </c>
      <c r="E669" s="7">
        <v>240</v>
      </c>
      <c r="F669" s="2" t="s">
        <v>11</v>
      </c>
      <c r="G669" s="1">
        <v>28</v>
      </c>
      <c r="H669" s="6">
        <f t="shared" si="53"/>
        <v>212</v>
      </c>
      <c r="I669" s="1">
        <f>+COUNTIF(F$3:$F669,F669)</f>
        <v>8</v>
      </c>
      <c r="K669" s="132" t="str">
        <f t="shared" si="52"/>
        <v>평일</v>
      </c>
    </row>
    <row r="670" spans="1:11" ht="21.75" customHeight="1" x14ac:dyDescent="0.25">
      <c r="A670" s="2">
        <f t="shared" si="49"/>
        <v>2022</v>
      </c>
      <c r="B670" s="2">
        <f t="shared" si="50"/>
        <v>8</v>
      </c>
      <c r="C670" s="2" t="str">
        <f t="shared" si="51"/>
        <v>토</v>
      </c>
      <c r="D670" s="3">
        <v>44779</v>
      </c>
      <c r="E670" s="7">
        <v>489</v>
      </c>
      <c r="F670" s="2" t="s">
        <v>11</v>
      </c>
      <c r="G670" s="1">
        <v>43</v>
      </c>
      <c r="H670" s="6">
        <f t="shared" si="53"/>
        <v>446</v>
      </c>
      <c r="I670" s="1">
        <f>+COUNTIF(F$3:$F670,F670)</f>
        <v>9</v>
      </c>
      <c r="K670" s="132" t="str">
        <f t="shared" si="52"/>
        <v>주말</v>
      </c>
    </row>
    <row r="671" spans="1:11" ht="21.75" customHeight="1" x14ac:dyDescent="0.25">
      <c r="A671" s="2">
        <f t="shared" si="49"/>
        <v>2022</v>
      </c>
      <c r="B671" s="2">
        <f t="shared" si="50"/>
        <v>8</v>
      </c>
      <c r="C671" s="2" t="str">
        <f t="shared" si="51"/>
        <v>일</v>
      </c>
      <c r="D671" s="3">
        <v>44780</v>
      </c>
      <c r="E671" s="7">
        <v>417</v>
      </c>
      <c r="F671" s="2" t="s">
        <v>11</v>
      </c>
      <c r="G671" s="1">
        <v>50</v>
      </c>
      <c r="H671" s="6">
        <f t="shared" si="53"/>
        <v>367</v>
      </c>
      <c r="I671" s="1">
        <f>+COUNTIF(F$3:$F671,F671)</f>
        <v>10</v>
      </c>
      <c r="K671" s="132" t="str">
        <f t="shared" si="52"/>
        <v>주말</v>
      </c>
    </row>
    <row r="672" spans="1:11" ht="21.75" customHeight="1" x14ac:dyDescent="0.25">
      <c r="A672" s="2">
        <f t="shared" si="49"/>
        <v>2022</v>
      </c>
      <c r="B672" s="2">
        <f t="shared" si="50"/>
        <v>8</v>
      </c>
      <c r="C672" s="2" t="str">
        <f t="shared" si="51"/>
        <v>월</v>
      </c>
      <c r="D672" s="3">
        <v>44781</v>
      </c>
      <c r="E672" s="7">
        <v>230</v>
      </c>
      <c r="F672" s="2" t="s">
        <v>11</v>
      </c>
      <c r="G672" s="1">
        <v>26</v>
      </c>
      <c r="H672" s="6">
        <f t="shared" si="53"/>
        <v>204</v>
      </c>
      <c r="I672" s="1">
        <f>+COUNTIF(F$3:$F672,F672)</f>
        <v>11</v>
      </c>
      <c r="K672" s="132" t="str">
        <f t="shared" si="52"/>
        <v>평일</v>
      </c>
    </row>
    <row r="673" spans="1:11" ht="21.75" customHeight="1" x14ac:dyDescent="0.25">
      <c r="A673" s="2">
        <f t="shared" si="49"/>
        <v>2022</v>
      </c>
      <c r="B673" s="2">
        <f t="shared" si="50"/>
        <v>8</v>
      </c>
      <c r="C673" s="2" t="str">
        <f t="shared" si="51"/>
        <v>화</v>
      </c>
      <c r="D673" s="3">
        <v>44782</v>
      </c>
      <c r="E673" s="7">
        <v>146</v>
      </c>
      <c r="F673" s="2" t="s">
        <v>11</v>
      </c>
      <c r="G673" s="1">
        <v>18</v>
      </c>
      <c r="H673" s="6">
        <f t="shared" si="53"/>
        <v>128</v>
      </c>
      <c r="I673" s="1">
        <f>+COUNTIF(F$3:$F673,F673)</f>
        <v>12</v>
      </c>
      <c r="K673" s="132" t="str">
        <f t="shared" si="52"/>
        <v>평일</v>
      </c>
    </row>
    <row r="674" spans="1:11" ht="21.75" customHeight="1" x14ac:dyDescent="0.25">
      <c r="A674" s="2">
        <f t="shared" si="49"/>
        <v>2022</v>
      </c>
      <c r="B674" s="2">
        <f t="shared" si="50"/>
        <v>8</v>
      </c>
      <c r="C674" s="2" t="str">
        <f t="shared" si="51"/>
        <v>수</v>
      </c>
      <c r="D674" s="3">
        <v>44783</v>
      </c>
      <c r="E674" s="7">
        <v>226</v>
      </c>
      <c r="F674" s="2" t="s">
        <v>11</v>
      </c>
      <c r="G674" s="1">
        <v>17</v>
      </c>
      <c r="H674" s="6">
        <f t="shared" si="53"/>
        <v>209</v>
      </c>
      <c r="I674" s="1">
        <f>+COUNTIF(F$3:$F674,F674)</f>
        <v>13</v>
      </c>
      <c r="K674" s="132" t="str">
        <f t="shared" si="52"/>
        <v>평일</v>
      </c>
    </row>
    <row r="675" spans="1:11" ht="21.75" customHeight="1" x14ac:dyDescent="0.25">
      <c r="A675" s="2">
        <f t="shared" si="49"/>
        <v>2022</v>
      </c>
      <c r="B675" s="2">
        <f t="shared" si="50"/>
        <v>8</v>
      </c>
      <c r="C675" s="2" t="str">
        <f t="shared" si="51"/>
        <v>목</v>
      </c>
      <c r="D675" s="3">
        <v>44784</v>
      </c>
      <c r="E675" s="7">
        <v>181</v>
      </c>
      <c r="F675" s="2" t="s">
        <v>11</v>
      </c>
      <c r="G675" s="1">
        <v>33</v>
      </c>
      <c r="H675" s="6">
        <f t="shared" si="53"/>
        <v>148</v>
      </c>
      <c r="I675" s="1">
        <f>+COUNTIF(F$3:$F675,F675)</f>
        <v>14</v>
      </c>
      <c r="K675" s="132" t="str">
        <f t="shared" si="52"/>
        <v>평일</v>
      </c>
    </row>
    <row r="676" spans="1:11" ht="21.75" customHeight="1" x14ac:dyDescent="0.25">
      <c r="A676" s="2">
        <f t="shared" si="49"/>
        <v>2022</v>
      </c>
      <c r="B676" s="2">
        <f t="shared" si="50"/>
        <v>8</v>
      </c>
      <c r="C676" s="2" t="str">
        <f t="shared" si="51"/>
        <v>금</v>
      </c>
      <c r="D676" s="3">
        <v>44785</v>
      </c>
      <c r="E676" s="7">
        <v>221</v>
      </c>
      <c r="F676" s="2" t="s">
        <v>11</v>
      </c>
      <c r="G676" s="1">
        <v>23</v>
      </c>
      <c r="H676" s="6">
        <f t="shared" si="53"/>
        <v>198</v>
      </c>
      <c r="I676" s="1">
        <f>+COUNTIF(F$3:$F676,F676)</f>
        <v>15</v>
      </c>
      <c r="K676" s="132" t="str">
        <f t="shared" si="52"/>
        <v>평일</v>
      </c>
    </row>
    <row r="677" spans="1:11" ht="21.75" customHeight="1" x14ac:dyDescent="0.25">
      <c r="A677" s="2">
        <f t="shared" si="49"/>
        <v>2022</v>
      </c>
      <c r="B677" s="2">
        <f t="shared" si="50"/>
        <v>8</v>
      </c>
      <c r="C677" s="2" t="str">
        <f t="shared" si="51"/>
        <v>토</v>
      </c>
      <c r="D677" s="3">
        <v>44786</v>
      </c>
      <c r="E677" s="7">
        <v>453</v>
      </c>
      <c r="F677" s="2" t="s">
        <v>11</v>
      </c>
      <c r="G677" s="1">
        <v>66</v>
      </c>
      <c r="H677" s="6">
        <f t="shared" si="53"/>
        <v>387</v>
      </c>
      <c r="I677" s="1">
        <f>+COUNTIF(F$3:$F677,F677)</f>
        <v>16</v>
      </c>
      <c r="K677" s="132" t="str">
        <f t="shared" si="52"/>
        <v>주말</v>
      </c>
    </row>
    <row r="678" spans="1:11" ht="21.75" customHeight="1" x14ac:dyDescent="0.25">
      <c r="A678" s="2">
        <f t="shared" si="49"/>
        <v>2022</v>
      </c>
      <c r="B678" s="2">
        <f t="shared" si="50"/>
        <v>8</v>
      </c>
      <c r="C678" s="2" t="str">
        <f t="shared" si="51"/>
        <v>일</v>
      </c>
      <c r="D678" s="3">
        <v>44787</v>
      </c>
      <c r="E678" s="7">
        <v>438</v>
      </c>
      <c r="F678" s="2" t="s">
        <v>11</v>
      </c>
      <c r="G678" s="1">
        <v>53</v>
      </c>
      <c r="H678" s="6">
        <f t="shared" si="53"/>
        <v>385</v>
      </c>
      <c r="I678" s="1">
        <f>+COUNTIF(F$3:$F678,F678)</f>
        <v>17</v>
      </c>
      <c r="K678" s="132" t="str">
        <f t="shared" si="52"/>
        <v>주말</v>
      </c>
    </row>
    <row r="679" spans="1:11" ht="21.75" customHeight="1" x14ac:dyDescent="0.25">
      <c r="A679" s="2">
        <f t="shared" si="49"/>
        <v>2022</v>
      </c>
      <c r="B679" s="2">
        <f t="shared" si="50"/>
        <v>8</v>
      </c>
      <c r="C679" s="2" t="str">
        <f t="shared" si="51"/>
        <v>월</v>
      </c>
      <c r="D679" s="3">
        <v>44788</v>
      </c>
      <c r="E679" s="7">
        <v>474</v>
      </c>
      <c r="F679" s="2" t="s">
        <v>11</v>
      </c>
      <c r="G679" s="1">
        <v>68</v>
      </c>
      <c r="H679" s="6">
        <f t="shared" si="53"/>
        <v>406</v>
      </c>
      <c r="I679" s="1">
        <f>+COUNTIF(F$3:$F679,F679)</f>
        <v>18</v>
      </c>
      <c r="K679" s="132" t="str">
        <f t="shared" si="52"/>
        <v>평일</v>
      </c>
    </row>
    <row r="680" spans="1:11" ht="21.75" customHeight="1" x14ac:dyDescent="0.25">
      <c r="A680" s="2">
        <f t="shared" si="49"/>
        <v>2022</v>
      </c>
      <c r="B680" s="2">
        <f t="shared" si="50"/>
        <v>8</v>
      </c>
      <c r="C680" s="2" t="str">
        <f t="shared" si="51"/>
        <v>화</v>
      </c>
      <c r="D680" s="3">
        <v>44789</v>
      </c>
      <c r="E680" s="7">
        <v>215</v>
      </c>
      <c r="F680" s="2" t="s">
        <v>11</v>
      </c>
      <c r="G680" s="1">
        <v>37</v>
      </c>
      <c r="H680" s="6">
        <f t="shared" si="53"/>
        <v>178</v>
      </c>
      <c r="I680" s="1">
        <f>+COUNTIF(F$3:$F680,F680)</f>
        <v>19</v>
      </c>
      <c r="K680" s="132" t="str">
        <f t="shared" si="52"/>
        <v>평일</v>
      </c>
    </row>
    <row r="681" spans="1:11" ht="21.75" customHeight="1" x14ac:dyDescent="0.25">
      <c r="A681" s="2">
        <f t="shared" si="49"/>
        <v>2022</v>
      </c>
      <c r="B681" s="2">
        <f t="shared" si="50"/>
        <v>8</v>
      </c>
      <c r="C681" s="2" t="str">
        <f t="shared" si="51"/>
        <v>수</v>
      </c>
      <c r="D681" s="3">
        <v>44790</v>
      </c>
      <c r="E681" s="7">
        <v>155</v>
      </c>
      <c r="F681" s="2" t="s">
        <v>11</v>
      </c>
      <c r="G681" s="1">
        <v>9</v>
      </c>
      <c r="H681" s="6">
        <f t="shared" si="53"/>
        <v>146</v>
      </c>
      <c r="I681" s="1">
        <f>+COUNTIF(F$3:$F681,F681)</f>
        <v>20</v>
      </c>
      <c r="K681" s="132" t="str">
        <f t="shared" si="52"/>
        <v>평일</v>
      </c>
    </row>
    <row r="682" spans="1:11" ht="21.75" customHeight="1" x14ac:dyDescent="0.25">
      <c r="A682" s="2">
        <f t="shared" si="49"/>
        <v>2022</v>
      </c>
      <c r="B682" s="2">
        <f t="shared" si="50"/>
        <v>8</v>
      </c>
      <c r="C682" s="2" t="str">
        <f t="shared" si="51"/>
        <v>목</v>
      </c>
      <c r="D682" s="3">
        <v>44791</v>
      </c>
      <c r="E682" s="7">
        <v>183</v>
      </c>
      <c r="F682" s="2" t="s">
        <v>11</v>
      </c>
      <c r="G682" s="1">
        <v>26</v>
      </c>
      <c r="H682" s="6">
        <f t="shared" si="53"/>
        <v>157</v>
      </c>
      <c r="I682" s="1">
        <f>+COUNTIF(F$3:$F682,F682)</f>
        <v>21</v>
      </c>
      <c r="K682" s="132" t="str">
        <f t="shared" si="52"/>
        <v>평일</v>
      </c>
    </row>
    <row r="683" spans="1:11" ht="21.75" customHeight="1" x14ac:dyDescent="0.25">
      <c r="A683" s="2">
        <f t="shared" si="49"/>
        <v>2022</v>
      </c>
      <c r="B683" s="2">
        <f t="shared" si="50"/>
        <v>8</v>
      </c>
      <c r="C683" s="2" t="str">
        <f t="shared" si="51"/>
        <v>금</v>
      </c>
      <c r="D683" s="3">
        <v>44792</v>
      </c>
      <c r="E683" s="7">
        <v>226</v>
      </c>
      <c r="F683" s="2" t="s">
        <v>11</v>
      </c>
      <c r="G683" s="1">
        <v>32</v>
      </c>
      <c r="H683" s="6">
        <f t="shared" si="53"/>
        <v>194</v>
      </c>
      <c r="I683" s="1">
        <f>+COUNTIF(F$3:$F683,F683)</f>
        <v>22</v>
      </c>
      <c r="K683" s="132" t="str">
        <f t="shared" si="52"/>
        <v>평일</v>
      </c>
    </row>
    <row r="684" spans="1:11" ht="21.75" customHeight="1" x14ac:dyDescent="0.25">
      <c r="A684" s="2">
        <f t="shared" si="49"/>
        <v>2022</v>
      </c>
      <c r="B684" s="2">
        <f t="shared" si="50"/>
        <v>8</v>
      </c>
      <c r="C684" s="2" t="str">
        <f t="shared" si="51"/>
        <v>토</v>
      </c>
      <c r="D684" s="3">
        <v>44793</v>
      </c>
      <c r="E684" s="7">
        <v>507</v>
      </c>
      <c r="F684" s="2" t="s">
        <v>11</v>
      </c>
      <c r="G684" s="1">
        <v>76</v>
      </c>
      <c r="H684" s="6">
        <f t="shared" si="53"/>
        <v>431</v>
      </c>
      <c r="I684" s="1">
        <f>+COUNTIF(F$3:$F684,F684)</f>
        <v>23</v>
      </c>
      <c r="K684" s="132" t="str">
        <f t="shared" si="52"/>
        <v>주말</v>
      </c>
    </row>
    <row r="685" spans="1:11" ht="21.75" customHeight="1" x14ac:dyDescent="0.25">
      <c r="A685" s="2">
        <f t="shared" si="49"/>
        <v>2022</v>
      </c>
      <c r="B685" s="2">
        <f t="shared" si="50"/>
        <v>8</v>
      </c>
      <c r="C685" s="2" t="str">
        <f t="shared" si="51"/>
        <v>일</v>
      </c>
      <c r="D685" s="3">
        <v>44794</v>
      </c>
      <c r="E685" s="7">
        <v>395</v>
      </c>
      <c r="F685" s="2" t="s">
        <v>11</v>
      </c>
      <c r="G685" s="1">
        <v>64</v>
      </c>
      <c r="H685" s="6">
        <f t="shared" si="53"/>
        <v>331</v>
      </c>
      <c r="I685" s="1">
        <f>+COUNTIF(F$3:$F685,F685)</f>
        <v>24</v>
      </c>
      <c r="K685" s="132" t="str">
        <f t="shared" si="52"/>
        <v>주말</v>
      </c>
    </row>
    <row r="686" spans="1:11" ht="21.75" customHeight="1" x14ac:dyDescent="0.25">
      <c r="A686" s="2">
        <f t="shared" si="49"/>
        <v>2022</v>
      </c>
      <c r="B686" s="2">
        <f t="shared" si="50"/>
        <v>8</v>
      </c>
      <c r="C686" s="2" t="str">
        <f t="shared" si="51"/>
        <v>월</v>
      </c>
      <c r="D686" s="3">
        <v>44795</v>
      </c>
      <c r="E686" s="7">
        <v>30</v>
      </c>
      <c r="F686" s="2" t="s">
        <v>11</v>
      </c>
      <c r="G686" s="1">
        <v>26</v>
      </c>
      <c r="H686" s="6">
        <f t="shared" si="53"/>
        <v>4</v>
      </c>
      <c r="I686" s="1">
        <f>+COUNTIF(F$3:$F686,F686)</f>
        <v>25</v>
      </c>
      <c r="K686" s="132" t="str">
        <f t="shared" si="52"/>
        <v>평일</v>
      </c>
    </row>
    <row r="687" spans="1:11" ht="21.75" customHeight="1" x14ac:dyDescent="0.25">
      <c r="A687" s="2">
        <f t="shared" si="49"/>
        <v>2022</v>
      </c>
      <c r="B687" s="2">
        <f t="shared" si="50"/>
        <v>8</v>
      </c>
      <c r="C687" s="2" t="str">
        <f t="shared" si="51"/>
        <v>화</v>
      </c>
      <c r="D687" s="3">
        <v>44796</v>
      </c>
      <c r="E687" s="7">
        <v>210</v>
      </c>
      <c r="F687" s="2" t="s">
        <v>11</v>
      </c>
      <c r="G687" s="1">
        <v>50</v>
      </c>
      <c r="H687" s="6">
        <f t="shared" si="53"/>
        <v>160</v>
      </c>
      <c r="I687" s="1">
        <f>+COUNTIF(F$3:$F687,F687)</f>
        <v>26</v>
      </c>
      <c r="K687" s="132" t="str">
        <f t="shared" si="52"/>
        <v>평일</v>
      </c>
    </row>
    <row r="688" spans="1:11" ht="21.75" customHeight="1" x14ac:dyDescent="0.25">
      <c r="A688" s="2">
        <f t="shared" si="49"/>
        <v>2022</v>
      </c>
      <c r="B688" s="2">
        <f t="shared" si="50"/>
        <v>8</v>
      </c>
      <c r="C688" s="2" t="str">
        <f t="shared" si="51"/>
        <v>수</v>
      </c>
      <c r="D688" s="3">
        <v>44797</v>
      </c>
      <c r="E688" s="7">
        <v>194</v>
      </c>
      <c r="F688" s="2" t="s">
        <v>11</v>
      </c>
      <c r="G688" s="1">
        <v>27</v>
      </c>
      <c r="H688" s="6">
        <f t="shared" si="53"/>
        <v>167</v>
      </c>
      <c r="I688" s="1">
        <f>+COUNTIF(F$3:$F688,F688)</f>
        <v>27</v>
      </c>
      <c r="K688" s="132" t="str">
        <f t="shared" si="52"/>
        <v>평일</v>
      </c>
    </row>
    <row r="689" spans="1:11" ht="21.75" customHeight="1" x14ac:dyDescent="0.25">
      <c r="A689" s="2">
        <f t="shared" si="49"/>
        <v>2022</v>
      </c>
      <c r="B689" s="2">
        <f t="shared" si="50"/>
        <v>8</v>
      </c>
      <c r="C689" s="2" t="str">
        <f t="shared" si="51"/>
        <v>목</v>
      </c>
      <c r="D689" s="3">
        <v>44798</v>
      </c>
      <c r="E689" s="7">
        <v>212</v>
      </c>
      <c r="F689" s="2" t="s">
        <v>11</v>
      </c>
      <c r="G689" s="1">
        <v>33</v>
      </c>
      <c r="H689" s="6">
        <f t="shared" si="53"/>
        <v>179</v>
      </c>
      <c r="I689" s="1">
        <f>+COUNTIF(F$3:$F689,F689)</f>
        <v>28</v>
      </c>
      <c r="K689" s="132" t="str">
        <f t="shared" si="52"/>
        <v>평일</v>
      </c>
    </row>
    <row r="690" spans="1:11" ht="21.75" customHeight="1" x14ac:dyDescent="0.25">
      <c r="A690" s="2">
        <f t="shared" si="49"/>
        <v>2022</v>
      </c>
      <c r="B690" s="2">
        <f t="shared" si="50"/>
        <v>8</v>
      </c>
      <c r="C690" s="2" t="str">
        <f t="shared" si="51"/>
        <v>금</v>
      </c>
      <c r="D690" s="3">
        <v>44799</v>
      </c>
      <c r="E690" s="7">
        <v>296</v>
      </c>
      <c r="F690" s="2" t="s">
        <v>11</v>
      </c>
      <c r="G690" s="1">
        <v>31</v>
      </c>
      <c r="H690" s="6">
        <f t="shared" si="53"/>
        <v>265</v>
      </c>
      <c r="I690" s="1">
        <f>+COUNTIF(F$3:$F690,F690)</f>
        <v>29</v>
      </c>
      <c r="K690" s="132" t="str">
        <f t="shared" si="52"/>
        <v>평일</v>
      </c>
    </row>
    <row r="691" spans="1:11" ht="21.75" customHeight="1" x14ac:dyDescent="0.25">
      <c r="A691" s="2">
        <f t="shared" si="49"/>
        <v>2022</v>
      </c>
      <c r="B691" s="2">
        <f t="shared" si="50"/>
        <v>8</v>
      </c>
      <c r="C691" s="2" t="str">
        <f t="shared" si="51"/>
        <v>토</v>
      </c>
      <c r="D691" s="3">
        <v>44800</v>
      </c>
      <c r="E691" s="7">
        <v>602</v>
      </c>
      <c r="F691" s="2" t="s">
        <v>11</v>
      </c>
      <c r="G691" s="1">
        <v>79</v>
      </c>
      <c r="H691" s="6">
        <f t="shared" si="53"/>
        <v>523</v>
      </c>
      <c r="I691" s="1">
        <f>+COUNTIF(F$3:$F691,F691)</f>
        <v>30</v>
      </c>
      <c r="K691" s="132" t="str">
        <f t="shared" si="52"/>
        <v>주말</v>
      </c>
    </row>
    <row r="692" spans="1:11" ht="21.75" customHeight="1" x14ac:dyDescent="0.25">
      <c r="A692" s="2">
        <f t="shared" si="49"/>
        <v>2022</v>
      </c>
      <c r="B692" s="2">
        <f t="shared" si="50"/>
        <v>8</v>
      </c>
      <c r="C692" s="2" t="str">
        <f t="shared" si="51"/>
        <v>일</v>
      </c>
      <c r="D692" s="3">
        <v>44801</v>
      </c>
      <c r="E692" s="7">
        <v>577</v>
      </c>
      <c r="F692" s="2" t="s">
        <v>11</v>
      </c>
      <c r="G692" s="1">
        <v>62</v>
      </c>
      <c r="H692" s="6">
        <f t="shared" si="53"/>
        <v>515</v>
      </c>
      <c r="I692" s="1">
        <f>+COUNTIF(F$3:$F692,F692)</f>
        <v>31</v>
      </c>
      <c r="K692" s="132" t="str">
        <f t="shared" si="52"/>
        <v>주말</v>
      </c>
    </row>
    <row r="693" spans="1:11" ht="21.75" customHeight="1" x14ac:dyDescent="0.25">
      <c r="A693" s="2">
        <f t="shared" si="49"/>
        <v>2022</v>
      </c>
      <c r="B693" s="2">
        <f t="shared" si="50"/>
        <v>8</v>
      </c>
      <c r="C693" s="2" t="str">
        <f t="shared" si="51"/>
        <v>월</v>
      </c>
      <c r="D693" s="3">
        <v>44802</v>
      </c>
      <c r="E693" s="7">
        <v>254</v>
      </c>
      <c r="F693" s="2" t="s">
        <v>11</v>
      </c>
      <c r="G693" s="1">
        <v>46</v>
      </c>
      <c r="H693" s="6">
        <f t="shared" si="53"/>
        <v>208</v>
      </c>
      <c r="I693" s="1">
        <f>+COUNTIF(F$3:$F693,F693)</f>
        <v>32</v>
      </c>
      <c r="K693" s="132" t="str">
        <f t="shared" si="52"/>
        <v>평일</v>
      </c>
    </row>
    <row r="694" spans="1:11" ht="21.75" customHeight="1" x14ac:dyDescent="0.25">
      <c r="A694" s="2">
        <f t="shared" si="49"/>
        <v>2022</v>
      </c>
      <c r="B694" s="2">
        <f t="shared" si="50"/>
        <v>8</v>
      </c>
      <c r="C694" s="2" t="str">
        <f t="shared" si="51"/>
        <v>화</v>
      </c>
      <c r="D694" s="3">
        <v>44803</v>
      </c>
      <c r="E694" s="7">
        <v>212</v>
      </c>
      <c r="F694" s="2" t="s">
        <v>11</v>
      </c>
      <c r="G694" s="1">
        <v>24</v>
      </c>
      <c r="H694" s="6">
        <f t="shared" si="53"/>
        <v>188</v>
      </c>
      <c r="I694" s="1">
        <f>+COUNTIF(F$3:$F694,F694)</f>
        <v>33</v>
      </c>
      <c r="K694" s="132" t="str">
        <f t="shared" si="52"/>
        <v>평일</v>
      </c>
    </row>
    <row r="695" spans="1:11" ht="21.75" customHeight="1" x14ac:dyDescent="0.25">
      <c r="A695" s="2">
        <f t="shared" si="49"/>
        <v>2022</v>
      </c>
      <c r="B695" s="2">
        <f t="shared" si="50"/>
        <v>8</v>
      </c>
      <c r="C695" s="2" t="str">
        <f t="shared" si="51"/>
        <v>수</v>
      </c>
      <c r="D695" s="3">
        <v>44804</v>
      </c>
      <c r="E695" s="7">
        <v>349</v>
      </c>
      <c r="F695" s="2" t="s">
        <v>11</v>
      </c>
      <c r="G695" s="1">
        <v>22</v>
      </c>
      <c r="H695" s="6">
        <f t="shared" si="53"/>
        <v>327</v>
      </c>
      <c r="I695" s="1">
        <f>+COUNTIF(F$3:$F695,F695)</f>
        <v>34</v>
      </c>
      <c r="K695" s="132" t="str">
        <f t="shared" si="52"/>
        <v>평일</v>
      </c>
    </row>
    <row r="696" spans="1:11" ht="21.75" customHeight="1" x14ac:dyDescent="0.25">
      <c r="A696" s="2">
        <f t="shared" si="49"/>
        <v>2022</v>
      </c>
      <c r="B696" s="2">
        <f t="shared" si="50"/>
        <v>9</v>
      </c>
      <c r="C696" s="2" t="str">
        <f t="shared" si="51"/>
        <v>목</v>
      </c>
      <c r="D696" s="3">
        <v>44805</v>
      </c>
      <c r="E696" s="7">
        <v>87</v>
      </c>
      <c r="F696" s="2" t="s">
        <v>11</v>
      </c>
      <c r="G696" s="1">
        <v>18</v>
      </c>
      <c r="H696" s="6">
        <f t="shared" si="53"/>
        <v>69</v>
      </c>
      <c r="I696" s="1">
        <f>+COUNTIF(F$3:$F696,F696)</f>
        <v>35</v>
      </c>
      <c r="K696" s="132" t="str">
        <f t="shared" si="52"/>
        <v>평일</v>
      </c>
    </row>
    <row r="697" spans="1:11" ht="21.75" customHeight="1" x14ac:dyDescent="0.25">
      <c r="A697" s="2">
        <f t="shared" si="49"/>
        <v>2022</v>
      </c>
      <c r="B697" s="2">
        <f t="shared" si="50"/>
        <v>9</v>
      </c>
      <c r="C697" s="2" t="str">
        <f t="shared" si="51"/>
        <v>금</v>
      </c>
      <c r="D697" s="3">
        <v>44806</v>
      </c>
      <c r="E697" s="7">
        <v>163</v>
      </c>
      <c r="F697" s="2" t="s">
        <v>11</v>
      </c>
      <c r="G697" s="1">
        <v>44</v>
      </c>
      <c r="H697" s="6">
        <f t="shared" si="53"/>
        <v>119</v>
      </c>
      <c r="I697" s="1">
        <f>+COUNTIF(F$3:$F697,F697)</f>
        <v>36</v>
      </c>
      <c r="K697" s="132" t="str">
        <f t="shared" si="52"/>
        <v>평일</v>
      </c>
    </row>
    <row r="698" spans="1:11" ht="21.75" customHeight="1" x14ac:dyDescent="0.25">
      <c r="A698" s="2">
        <f t="shared" si="49"/>
        <v>2022</v>
      </c>
      <c r="B698" s="2">
        <f t="shared" si="50"/>
        <v>9</v>
      </c>
      <c r="C698" s="2" t="str">
        <f t="shared" si="51"/>
        <v>토</v>
      </c>
      <c r="D698" s="3">
        <v>44807</v>
      </c>
      <c r="E698" s="7">
        <v>373</v>
      </c>
      <c r="F698" s="2" t="s">
        <v>11</v>
      </c>
      <c r="G698" s="1">
        <v>76</v>
      </c>
      <c r="H698" s="6">
        <f t="shared" si="53"/>
        <v>297</v>
      </c>
      <c r="I698" s="1">
        <f>+COUNTIF(F$3:$F698,F698)</f>
        <v>37</v>
      </c>
      <c r="K698" s="132" t="str">
        <f t="shared" si="52"/>
        <v>주말</v>
      </c>
    </row>
    <row r="699" spans="1:11" ht="21.75" customHeight="1" x14ac:dyDescent="0.25">
      <c r="A699" s="2">
        <f t="shared" si="49"/>
        <v>2022</v>
      </c>
      <c r="B699" s="2">
        <f t="shared" si="50"/>
        <v>9</v>
      </c>
      <c r="C699" s="2" t="str">
        <f t="shared" si="51"/>
        <v>일</v>
      </c>
      <c r="D699" s="3">
        <v>44808</v>
      </c>
      <c r="E699" s="7">
        <v>275</v>
      </c>
      <c r="F699" s="2" t="s">
        <v>11</v>
      </c>
      <c r="G699" s="1">
        <v>53</v>
      </c>
      <c r="H699" s="6">
        <f t="shared" si="53"/>
        <v>222</v>
      </c>
      <c r="I699" s="1">
        <f>+COUNTIF(F$3:$F699,F699)</f>
        <v>38</v>
      </c>
      <c r="K699" s="132" t="str">
        <f t="shared" si="52"/>
        <v>주말</v>
      </c>
    </row>
    <row r="700" spans="1:11" ht="21.75" customHeight="1" x14ac:dyDescent="0.25">
      <c r="A700" s="2">
        <f t="shared" si="49"/>
        <v>2022</v>
      </c>
      <c r="B700" s="2">
        <f t="shared" si="50"/>
        <v>9</v>
      </c>
      <c r="C700" s="2" t="str">
        <f t="shared" si="51"/>
        <v>월</v>
      </c>
      <c r="D700" s="3">
        <v>44809</v>
      </c>
      <c r="E700" s="7">
        <v>96</v>
      </c>
      <c r="F700" s="2" t="s">
        <v>11</v>
      </c>
      <c r="G700" s="1">
        <v>12</v>
      </c>
      <c r="H700" s="6">
        <f t="shared" si="53"/>
        <v>84</v>
      </c>
      <c r="I700" s="1">
        <f>+COUNTIF(F$3:$F700,F700)</f>
        <v>39</v>
      </c>
      <c r="K700" s="132" t="str">
        <f t="shared" si="52"/>
        <v>평일</v>
      </c>
    </row>
    <row r="701" spans="1:11" ht="21.75" customHeight="1" x14ac:dyDescent="0.25">
      <c r="A701" s="2">
        <f t="shared" si="49"/>
        <v>2022</v>
      </c>
      <c r="B701" s="2">
        <f t="shared" si="50"/>
        <v>9</v>
      </c>
      <c r="C701" s="2" t="str">
        <f t="shared" si="51"/>
        <v>화</v>
      </c>
      <c r="D701" s="3">
        <v>44810</v>
      </c>
      <c r="E701" s="7">
        <v>76</v>
      </c>
      <c r="F701" s="2" t="s">
        <v>11</v>
      </c>
      <c r="G701" s="1">
        <v>24</v>
      </c>
      <c r="H701" s="6">
        <f t="shared" si="53"/>
        <v>52</v>
      </c>
      <c r="I701" s="1">
        <f>+COUNTIF(F$3:$F701,F701)</f>
        <v>40</v>
      </c>
      <c r="K701" s="132" t="str">
        <f t="shared" si="52"/>
        <v>평일</v>
      </c>
    </row>
    <row r="702" spans="1:11" ht="21.75" customHeight="1" x14ac:dyDescent="0.25">
      <c r="A702" s="2">
        <f t="shared" si="49"/>
        <v>2022</v>
      </c>
      <c r="B702" s="2">
        <f t="shared" si="50"/>
        <v>9</v>
      </c>
      <c r="C702" s="2" t="str">
        <f t="shared" si="51"/>
        <v>수</v>
      </c>
      <c r="D702" s="3">
        <v>44811</v>
      </c>
      <c r="E702" s="7">
        <v>138</v>
      </c>
      <c r="F702" s="2" t="s">
        <v>11</v>
      </c>
      <c r="G702" s="1">
        <v>30</v>
      </c>
      <c r="H702" s="6">
        <f t="shared" si="53"/>
        <v>108</v>
      </c>
      <c r="I702" s="1">
        <f>+COUNTIF(F$3:$F702,F702)</f>
        <v>41</v>
      </c>
      <c r="K702" s="132" t="str">
        <f t="shared" si="52"/>
        <v>평일</v>
      </c>
    </row>
    <row r="703" spans="1:11" ht="21.75" customHeight="1" x14ac:dyDescent="0.25">
      <c r="A703" s="2">
        <f t="shared" si="49"/>
        <v>2022</v>
      </c>
      <c r="B703" s="2">
        <f t="shared" si="50"/>
        <v>9</v>
      </c>
      <c r="C703" s="2" t="str">
        <f t="shared" si="51"/>
        <v>목</v>
      </c>
      <c r="D703" s="3">
        <v>44812</v>
      </c>
      <c r="E703" s="7">
        <v>127</v>
      </c>
      <c r="F703" s="2" t="s">
        <v>11</v>
      </c>
      <c r="G703" s="1">
        <v>32</v>
      </c>
      <c r="H703" s="6">
        <f t="shared" si="53"/>
        <v>95</v>
      </c>
      <c r="I703" s="1">
        <f>+COUNTIF(F$3:$F703,F703)</f>
        <v>42</v>
      </c>
      <c r="K703" s="132" t="str">
        <f t="shared" si="52"/>
        <v>평일</v>
      </c>
    </row>
    <row r="704" spans="1:11" ht="21.75" customHeight="1" x14ac:dyDescent="0.25">
      <c r="A704" s="2">
        <f t="shared" si="49"/>
        <v>2022</v>
      </c>
      <c r="B704" s="2">
        <f t="shared" si="50"/>
        <v>9</v>
      </c>
      <c r="C704" s="2" t="str">
        <f t="shared" si="51"/>
        <v>금</v>
      </c>
      <c r="D704" s="3">
        <v>44813</v>
      </c>
      <c r="E704" s="7">
        <v>0</v>
      </c>
      <c r="F704" s="2" t="s">
        <v>11</v>
      </c>
      <c r="G704" s="1">
        <v>0</v>
      </c>
      <c r="H704" s="6">
        <f t="shared" si="53"/>
        <v>0</v>
      </c>
      <c r="I704" s="1">
        <f>+COUNTIF(F$3:$F704,F704)</f>
        <v>43</v>
      </c>
      <c r="K704" s="132" t="str">
        <f t="shared" si="52"/>
        <v>평일</v>
      </c>
    </row>
    <row r="705" spans="1:11" ht="21.75" customHeight="1" x14ac:dyDescent="0.25">
      <c r="A705" s="2">
        <f t="shared" si="49"/>
        <v>2022</v>
      </c>
      <c r="B705" s="2">
        <f t="shared" si="50"/>
        <v>9</v>
      </c>
      <c r="C705" s="2" t="str">
        <f t="shared" si="51"/>
        <v>토</v>
      </c>
      <c r="D705" s="3">
        <v>44814</v>
      </c>
      <c r="E705" s="7">
        <v>0</v>
      </c>
      <c r="F705" s="2" t="s">
        <v>11</v>
      </c>
      <c r="G705" s="1">
        <v>0</v>
      </c>
      <c r="H705" s="6">
        <f t="shared" si="53"/>
        <v>0</v>
      </c>
      <c r="I705" s="1">
        <f>+COUNTIF(F$3:$F705,F705)</f>
        <v>44</v>
      </c>
      <c r="K705" s="132" t="str">
        <f t="shared" si="52"/>
        <v>주말</v>
      </c>
    </row>
    <row r="706" spans="1:11" ht="21.75" customHeight="1" x14ac:dyDescent="0.25">
      <c r="A706" s="2">
        <f t="shared" si="49"/>
        <v>2022</v>
      </c>
      <c r="B706" s="2">
        <f t="shared" si="50"/>
        <v>9</v>
      </c>
      <c r="C706" s="2" t="str">
        <f t="shared" si="51"/>
        <v>일</v>
      </c>
      <c r="D706" s="3">
        <v>44815</v>
      </c>
      <c r="E706" s="7">
        <v>295</v>
      </c>
      <c r="F706" s="2" t="s">
        <v>11</v>
      </c>
      <c r="G706" s="1">
        <v>55</v>
      </c>
      <c r="H706" s="6">
        <f t="shared" si="53"/>
        <v>240</v>
      </c>
      <c r="I706" s="1">
        <f>+COUNTIF(F$3:$F706,F706)</f>
        <v>45</v>
      </c>
      <c r="K706" s="132" t="str">
        <f t="shared" si="52"/>
        <v>주말</v>
      </c>
    </row>
    <row r="707" spans="1:11" ht="21.75" customHeight="1" x14ac:dyDescent="0.25">
      <c r="A707" s="2">
        <f t="shared" si="49"/>
        <v>2022</v>
      </c>
      <c r="B707" s="2">
        <f t="shared" si="50"/>
        <v>9</v>
      </c>
      <c r="C707" s="2" t="str">
        <f t="shared" si="51"/>
        <v>월</v>
      </c>
      <c r="D707" s="3">
        <v>44816</v>
      </c>
      <c r="E707" s="7">
        <v>327</v>
      </c>
      <c r="F707" s="2" t="s">
        <v>11</v>
      </c>
      <c r="G707" s="1">
        <v>77</v>
      </c>
      <c r="H707" s="6">
        <f t="shared" si="53"/>
        <v>250</v>
      </c>
      <c r="I707" s="1">
        <f>+COUNTIF(F$3:$F707,F707)</f>
        <v>46</v>
      </c>
      <c r="K707" s="132" t="str">
        <f t="shared" si="52"/>
        <v>평일</v>
      </c>
    </row>
    <row r="708" spans="1:11" ht="21.75" customHeight="1" x14ac:dyDescent="0.25">
      <c r="A708" s="2">
        <f t="shared" ref="A708:A771" si="54">+YEAR(D708)</f>
        <v>2022</v>
      </c>
      <c r="B708" s="2">
        <f t="shared" ref="B708:B771" si="55">+MONTH(D708)</f>
        <v>9</v>
      </c>
      <c r="C708" s="2" t="str">
        <f t="shared" ref="C708:C771" si="56">+TEXT(D708,"aaa")</f>
        <v>화</v>
      </c>
      <c r="D708" s="3">
        <v>44817</v>
      </c>
      <c r="E708" s="7">
        <v>77</v>
      </c>
      <c r="F708" s="2" t="s">
        <v>11</v>
      </c>
      <c r="G708" s="1">
        <v>8</v>
      </c>
      <c r="H708" s="6">
        <f t="shared" si="53"/>
        <v>69</v>
      </c>
      <c r="I708" s="1">
        <f>+COUNTIF(F$3:$F708,F708)</f>
        <v>47</v>
      </c>
      <c r="K708" s="132" t="str">
        <f t="shared" ref="K708:K771" si="57">+IF(OR(C708="토",C708="일"),"주말","평일")</f>
        <v>평일</v>
      </c>
    </row>
    <row r="709" spans="1:11" ht="21.75" customHeight="1" x14ac:dyDescent="0.25">
      <c r="A709" s="2">
        <f t="shared" si="54"/>
        <v>2022</v>
      </c>
      <c r="B709" s="2">
        <f t="shared" si="55"/>
        <v>9</v>
      </c>
      <c r="C709" s="2" t="str">
        <f t="shared" si="56"/>
        <v>수</v>
      </c>
      <c r="D709" s="3">
        <v>44818</v>
      </c>
      <c r="E709" s="7">
        <v>79</v>
      </c>
      <c r="F709" s="2" t="s">
        <v>11</v>
      </c>
      <c r="G709" s="1">
        <v>13</v>
      </c>
      <c r="H709" s="6">
        <f t="shared" si="53"/>
        <v>66</v>
      </c>
      <c r="I709" s="1">
        <f>+COUNTIF(F$3:$F709,F709)</f>
        <v>48</v>
      </c>
      <c r="K709" s="132" t="str">
        <f t="shared" si="57"/>
        <v>평일</v>
      </c>
    </row>
    <row r="710" spans="1:11" ht="21.75" customHeight="1" x14ac:dyDescent="0.25">
      <c r="A710" s="2">
        <f t="shared" si="54"/>
        <v>2022</v>
      </c>
      <c r="B710" s="2">
        <f t="shared" si="55"/>
        <v>9</v>
      </c>
      <c r="C710" s="2" t="str">
        <f t="shared" si="56"/>
        <v>목</v>
      </c>
      <c r="D710" s="3">
        <v>44819</v>
      </c>
      <c r="E710" s="7">
        <v>198</v>
      </c>
      <c r="F710" s="2" t="s">
        <v>11</v>
      </c>
      <c r="G710" s="1">
        <v>31</v>
      </c>
      <c r="H710" s="6">
        <f t="shared" si="53"/>
        <v>167</v>
      </c>
      <c r="I710" s="1">
        <f>+COUNTIF(F$3:$F710,F710)</f>
        <v>49</v>
      </c>
      <c r="K710" s="132" t="str">
        <f t="shared" si="57"/>
        <v>평일</v>
      </c>
    </row>
    <row r="711" spans="1:11" ht="21.75" customHeight="1" x14ac:dyDescent="0.25">
      <c r="A711" s="2">
        <f t="shared" si="54"/>
        <v>2022</v>
      </c>
      <c r="B711" s="2">
        <f t="shared" si="55"/>
        <v>9</v>
      </c>
      <c r="C711" s="2" t="str">
        <f t="shared" si="56"/>
        <v>금</v>
      </c>
      <c r="D711" s="3">
        <v>44820</v>
      </c>
      <c r="E711" s="7">
        <v>234</v>
      </c>
      <c r="F711" s="2" t="s">
        <v>11</v>
      </c>
      <c r="G711" s="1">
        <v>40</v>
      </c>
      <c r="H711" s="6">
        <f t="shared" si="53"/>
        <v>194</v>
      </c>
      <c r="I711" s="1">
        <f>+COUNTIF(F$3:$F711,F711)</f>
        <v>50</v>
      </c>
      <c r="K711" s="132" t="str">
        <f t="shared" si="57"/>
        <v>평일</v>
      </c>
    </row>
    <row r="712" spans="1:11" ht="21.75" customHeight="1" x14ac:dyDescent="0.25">
      <c r="A712" s="2">
        <f t="shared" si="54"/>
        <v>2022</v>
      </c>
      <c r="B712" s="2">
        <f t="shared" si="55"/>
        <v>9</v>
      </c>
      <c r="C712" s="2" t="str">
        <f t="shared" si="56"/>
        <v>토</v>
      </c>
      <c r="D712" s="3">
        <v>44821</v>
      </c>
      <c r="E712" s="7">
        <v>317</v>
      </c>
      <c r="F712" s="2" t="s">
        <v>11</v>
      </c>
      <c r="G712" s="1">
        <v>49</v>
      </c>
      <c r="H712" s="6">
        <f t="shared" si="53"/>
        <v>268</v>
      </c>
      <c r="I712" s="1">
        <f>+COUNTIF(F$3:$F712,F712)</f>
        <v>51</v>
      </c>
      <c r="K712" s="132" t="str">
        <f t="shared" si="57"/>
        <v>주말</v>
      </c>
    </row>
    <row r="713" spans="1:11" ht="21.75" customHeight="1" x14ac:dyDescent="0.25">
      <c r="A713" s="2">
        <f t="shared" si="54"/>
        <v>2022</v>
      </c>
      <c r="B713" s="2">
        <f t="shared" si="55"/>
        <v>9</v>
      </c>
      <c r="C713" s="2" t="str">
        <f t="shared" si="56"/>
        <v>일</v>
      </c>
      <c r="D713" s="3">
        <v>44822</v>
      </c>
      <c r="E713" s="7">
        <v>280</v>
      </c>
      <c r="F713" s="2" t="s">
        <v>11</v>
      </c>
      <c r="G713" s="1">
        <v>60</v>
      </c>
      <c r="H713" s="6">
        <f t="shared" si="53"/>
        <v>220</v>
      </c>
      <c r="I713" s="1">
        <f>+COUNTIF(F$3:$F713,F713)</f>
        <v>52</v>
      </c>
      <c r="K713" s="132" t="str">
        <f t="shared" si="57"/>
        <v>주말</v>
      </c>
    </row>
    <row r="714" spans="1:11" ht="21.75" customHeight="1" x14ac:dyDescent="0.25">
      <c r="A714" s="2">
        <f t="shared" si="54"/>
        <v>2022</v>
      </c>
      <c r="B714" s="2">
        <f t="shared" si="55"/>
        <v>9</v>
      </c>
      <c r="C714" s="2" t="str">
        <f t="shared" si="56"/>
        <v>월</v>
      </c>
      <c r="D714" s="3">
        <v>44823</v>
      </c>
      <c r="E714" s="7">
        <v>125</v>
      </c>
      <c r="F714" s="2" t="s">
        <v>11</v>
      </c>
      <c r="G714" s="1">
        <v>38</v>
      </c>
      <c r="H714" s="6">
        <f t="shared" si="53"/>
        <v>87</v>
      </c>
      <c r="I714" s="1">
        <f>+COUNTIF(F$3:$F714,F714)</f>
        <v>53</v>
      </c>
      <c r="K714" s="132" t="str">
        <f t="shared" si="57"/>
        <v>평일</v>
      </c>
    </row>
    <row r="715" spans="1:11" ht="21.75" customHeight="1" x14ac:dyDescent="0.25">
      <c r="A715" s="2">
        <f t="shared" si="54"/>
        <v>2022</v>
      </c>
      <c r="B715" s="2">
        <f t="shared" si="55"/>
        <v>9</v>
      </c>
      <c r="C715" s="2" t="str">
        <f t="shared" si="56"/>
        <v>화</v>
      </c>
      <c r="D715" s="3">
        <v>44824</v>
      </c>
      <c r="E715" s="7">
        <v>104</v>
      </c>
      <c r="F715" s="2" t="s">
        <v>11</v>
      </c>
      <c r="G715" s="1">
        <v>15</v>
      </c>
      <c r="H715" s="6">
        <f t="shared" si="53"/>
        <v>89</v>
      </c>
      <c r="I715" s="1">
        <f>+COUNTIF(F$3:$F715,F715)</f>
        <v>54</v>
      </c>
      <c r="K715" s="132" t="str">
        <f t="shared" si="57"/>
        <v>평일</v>
      </c>
    </row>
    <row r="716" spans="1:11" ht="21.75" customHeight="1" x14ac:dyDescent="0.25">
      <c r="A716" s="2">
        <f t="shared" si="54"/>
        <v>2022</v>
      </c>
      <c r="B716" s="2">
        <f t="shared" si="55"/>
        <v>9</v>
      </c>
      <c r="C716" s="2" t="str">
        <f t="shared" si="56"/>
        <v>수</v>
      </c>
      <c r="D716" s="3">
        <v>44825</v>
      </c>
      <c r="E716" s="7">
        <v>120</v>
      </c>
      <c r="F716" s="2" t="s">
        <v>11</v>
      </c>
      <c r="G716" s="1">
        <v>11</v>
      </c>
      <c r="H716" s="6">
        <f t="shared" si="53"/>
        <v>109</v>
      </c>
      <c r="I716" s="1">
        <f>+COUNTIF(F$3:$F716,F716)</f>
        <v>55</v>
      </c>
      <c r="K716" s="132" t="str">
        <f t="shared" si="57"/>
        <v>평일</v>
      </c>
    </row>
    <row r="717" spans="1:11" ht="21.75" customHeight="1" x14ac:dyDescent="0.25">
      <c r="A717" s="2">
        <f t="shared" si="54"/>
        <v>2022</v>
      </c>
      <c r="B717" s="2">
        <f t="shared" si="55"/>
        <v>9</v>
      </c>
      <c r="C717" s="2" t="str">
        <f t="shared" si="56"/>
        <v>목</v>
      </c>
      <c r="D717" s="3">
        <v>44826</v>
      </c>
      <c r="E717" s="7">
        <v>86</v>
      </c>
      <c r="F717" s="2" t="s">
        <v>11</v>
      </c>
      <c r="G717" s="1">
        <v>37</v>
      </c>
      <c r="H717" s="6">
        <f t="shared" si="53"/>
        <v>49</v>
      </c>
      <c r="I717" s="1">
        <f>+COUNTIF(F$3:$F717,F717)</f>
        <v>56</v>
      </c>
      <c r="K717" s="132" t="str">
        <f t="shared" si="57"/>
        <v>평일</v>
      </c>
    </row>
    <row r="718" spans="1:11" ht="21.75" customHeight="1" x14ac:dyDescent="0.25">
      <c r="A718" s="2">
        <f t="shared" si="54"/>
        <v>2022</v>
      </c>
      <c r="B718" s="2">
        <f t="shared" si="55"/>
        <v>9</v>
      </c>
      <c r="C718" s="2" t="str">
        <f t="shared" si="56"/>
        <v>금</v>
      </c>
      <c r="D718" s="3">
        <v>44827</v>
      </c>
      <c r="E718" s="7">
        <v>147</v>
      </c>
      <c r="F718" s="2" t="s">
        <v>11</v>
      </c>
      <c r="G718" s="1">
        <v>23</v>
      </c>
      <c r="H718" s="6">
        <f t="shared" si="53"/>
        <v>124</v>
      </c>
      <c r="I718" s="1">
        <f>+COUNTIF(F$3:$F718,F718)</f>
        <v>57</v>
      </c>
      <c r="K718" s="132" t="str">
        <f t="shared" si="57"/>
        <v>평일</v>
      </c>
    </row>
    <row r="719" spans="1:11" ht="21.75" customHeight="1" x14ac:dyDescent="0.25">
      <c r="A719" s="2">
        <f t="shared" si="54"/>
        <v>2022</v>
      </c>
      <c r="B719" s="2">
        <f t="shared" si="55"/>
        <v>9</v>
      </c>
      <c r="C719" s="2" t="str">
        <f t="shared" si="56"/>
        <v>토</v>
      </c>
      <c r="D719" s="3">
        <v>44828</v>
      </c>
      <c r="E719" s="7">
        <v>348</v>
      </c>
      <c r="F719" s="2" t="s">
        <v>11</v>
      </c>
      <c r="G719" s="1">
        <v>68</v>
      </c>
      <c r="H719" s="6">
        <f t="shared" si="53"/>
        <v>280</v>
      </c>
      <c r="I719" s="1">
        <f>+COUNTIF(F$3:$F719,F719)</f>
        <v>58</v>
      </c>
      <c r="K719" s="132" t="str">
        <f t="shared" si="57"/>
        <v>주말</v>
      </c>
    </row>
    <row r="720" spans="1:11" ht="21.75" customHeight="1" x14ac:dyDescent="0.25">
      <c r="A720" s="2">
        <f t="shared" si="54"/>
        <v>2022</v>
      </c>
      <c r="B720" s="2">
        <f t="shared" si="55"/>
        <v>9</v>
      </c>
      <c r="C720" s="2" t="str">
        <f t="shared" si="56"/>
        <v>일</v>
      </c>
      <c r="D720" s="3">
        <v>44829</v>
      </c>
      <c r="E720" s="7">
        <v>262</v>
      </c>
      <c r="F720" s="2" t="s">
        <v>11</v>
      </c>
      <c r="G720" s="1">
        <v>57</v>
      </c>
      <c r="H720" s="6">
        <f t="shared" si="53"/>
        <v>205</v>
      </c>
      <c r="I720" s="1">
        <f>+COUNTIF(F$3:$F720,F720)</f>
        <v>59</v>
      </c>
      <c r="K720" s="132" t="str">
        <f t="shared" si="57"/>
        <v>주말</v>
      </c>
    </row>
    <row r="721" spans="1:11" ht="21.75" customHeight="1" x14ac:dyDescent="0.25">
      <c r="A721" s="2">
        <f t="shared" si="54"/>
        <v>2022</v>
      </c>
      <c r="B721" s="2">
        <f t="shared" si="55"/>
        <v>9</v>
      </c>
      <c r="C721" s="2" t="str">
        <f t="shared" si="56"/>
        <v>월</v>
      </c>
      <c r="D721" s="3">
        <v>44830</v>
      </c>
      <c r="E721" s="7">
        <v>99</v>
      </c>
      <c r="F721" s="2" t="s">
        <v>11</v>
      </c>
      <c r="G721" s="1">
        <v>16</v>
      </c>
      <c r="H721" s="6">
        <f t="shared" si="53"/>
        <v>83</v>
      </c>
      <c r="I721" s="1">
        <f>+COUNTIF(F$3:$F721,F721)</f>
        <v>60</v>
      </c>
      <c r="K721" s="132" t="str">
        <f t="shared" si="57"/>
        <v>평일</v>
      </c>
    </row>
    <row r="722" spans="1:11" ht="21.75" customHeight="1" x14ac:dyDescent="0.25">
      <c r="A722" s="2">
        <f t="shared" si="54"/>
        <v>2022</v>
      </c>
      <c r="B722" s="2">
        <f t="shared" si="55"/>
        <v>9</v>
      </c>
      <c r="C722" s="2" t="str">
        <f t="shared" si="56"/>
        <v>화</v>
      </c>
      <c r="D722" s="3">
        <v>44831</v>
      </c>
      <c r="E722" s="7">
        <v>87</v>
      </c>
      <c r="F722" s="2" t="s">
        <v>11</v>
      </c>
      <c r="G722" s="1">
        <v>15</v>
      </c>
      <c r="H722" s="6">
        <f t="shared" si="53"/>
        <v>72</v>
      </c>
      <c r="I722" s="1">
        <f>+COUNTIF(F$3:$F722,F722)</f>
        <v>61</v>
      </c>
      <c r="K722" s="132" t="str">
        <f t="shared" si="57"/>
        <v>평일</v>
      </c>
    </row>
    <row r="723" spans="1:11" ht="21.75" customHeight="1" x14ac:dyDescent="0.25">
      <c r="A723" s="2">
        <f t="shared" si="54"/>
        <v>2022</v>
      </c>
      <c r="B723" s="2">
        <f t="shared" si="55"/>
        <v>9</v>
      </c>
      <c r="C723" s="2" t="str">
        <f t="shared" si="56"/>
        <v>수</v>
      </c>
      <c r="D723" s="3">
        <v>44832</v>
      </c>
      <c r="E723" s="7">
        <v>169</v>
      </c>
      <c r="F723" s="2" t="s">
        <v>11</v>
      </c>
      <c r="G723" s="1">
        <v>36</v>
      </c>
      <c r="H723" s="6">
        <f t="shared" si="53"/>
        <v>133</v>
      </c>
      <c r="I723" s="1">
        <f>+COUNTIF(F$3:$F723,F723)</f>
        <v>62</v>
      </c>
      <c r="K723" s="132" t="str">
        <f t="shared" si="57"/>
        <v>평일</v>
      </c>
    </row>
    <row r="724" spans="1:11" ht="21.75" customHeight="1" x14ac:dyDescent="0.25">
      <c r="A724" s="2">
        <f t="shared" si="54"/>
        <v>2022</v>
      </c>
      <c r="B724" s="2">
        <f t="shared" si="55"/>
        <v>9</v>
      </c>
      <c r="C724" s="2" t="str">
        <f t="shared" si="56"/>
        <v>목</v>
      </c>
      <c r="D724" s="3">
        <v>44833</v>
      </c>
      <c r="E724" s="7">
        <v>73</v>
      </c>
      <c r="F724" s="2" t="s">
        <v>11</v>
      </c>
      <c r="G724" s="1">
        <v>25</v>
      </c>
      <c r="H724" s="6">
        <f t="shared" si="53"/>
        <v>48</v>
      </c>
      <c r="I724" s="1">
        <f>+COUNTIF(F$3:$F724,F724)</f>
        <v>63</v>
      </c>
      <c r="K724" s="132" t="str">
        <f t="shared" si="57"/>
        <v>평일</v>
      </c>
    </row>
    <row r="725" spans="1:11" ht="21.75" customHeight="1" x14ac:dyDescent="0.25">
      <c r="A725" s="2">
        <f t="shared" si="54"/>
        <v>2022</v>
      </c>
      <c r="B725" s="2">
        <f t="shared" si="55"/>
        <v>9</v>
      </c>
      <c r="C725" s="2" t="str">
        <f t="shared" si="56"/>
        <v>금</v>
      </c>
      <c r="D725" s="3">
        <v>44834</v>
      </c>
      <c r="E725" s="7">
        <v>136</v>
      </c>
      <c r="F725" s="2" t="s">
        <v>11</v>
      </c>
      <c r="G725" s="1">
        <v>28</v>
      </c>
      <c r="H725" s="6">
        <f t="shared" si="53"/>
        <v>108</v>
      </c>
      <c r="I725" s="1">
        <f>+COUNTIF(F$3:$F725,F725)</f>
        <v>64</v>
      </c>
      <c r="K725" s="132" t="str">
        <f t="shared" si="57"/>
        <v>평일</v>
      </c>
    </row>
    <row r="726" spans="1:11" ht="21.75" customHeight="1" x14ac:dyDescent="0.25">
      <c r="A726" s="2">
        <f t="shared" si="54"/>
        <v>2022</v>
      </c>
      <c r="B726" s="2">
        <f t="shared" si="55"/>
        <v>10</v>
      </c>
      <c r="C726" s="2" t="str">
        <f t="shared" si="56"/>
        <v>토</v>
      </c>
      <c r="D726" s="3">
        <v>44835</v>
      </c>
      <c r="E726" s="7">
        <v>400</v>
      </c>
      <c r="F726" s="2" t="s">
        <v>11</v>
      </c>
      <c r="G726" s="1">
        <v>62</v>
      </c>
      <c r="H726" s="6">
        <f t="shared" si="53"/>
        <v>338</v>
      </c>
      <c r="I726" s="1">
        <f>+COUNTIF(F$3:$F726,F726)</f>
        <v>65</v>
      </c>
      <c r="K726" s="132" t="str">
        <f t="shared" si="57"/>
        <v>주말</v>
      </c>
    </row>
    <row r="727" spans="1:11" ht="21.75" customHeight="1" x14ac:dyDescent="0.25">
      <c r="A727" s="2">
        <f t="shared" si="54"/>
        <v>2022</v>
      </c>
      <c r="B727" s="2">
        <f t="shared" si="55"/>
        <v>10</v>
      </c>
      <c r="C727" s="2" t="str">
        <f t="shared" si="56"/>
        <v>일</v>
      </c>
      <c r="D727" s="3">
        <v>44836</v>
      </c>
      <c r="E727" s="7">
        <v>439</v>
      </c>
      <c r="F727" s="2" t="s">
        <v>11</v>
      </c>
      <c r="G727" s="1">
        <v>85</v>
      </c>
      <c r="H727" s="6">
        <f t="shared" ref="H727:H762" si="58">+E727-G727</f>
        <v>354</v>
      </c>
      <c r="I727" s="1">
        <f>+COUNTIF(F$3:$F727,F727)</f>
        <v>66</v>
      </c>
      <c r="K727" s="132" t="str">
        <f t="shared" si="57"/>
        <v>주말</v>
      </c>
    </row>
    <row r="728" spans="1:11" ht="21.75" customHeight="1" x14ac:dyDescent="0.25">
      <c r="A728" s="2">
        <f t="shared" si="54"/>
        <v>2022</v>
      </c>
      <c r="B728" s="2">
        <f t="shared" si="55"/>
        <v>10</v>
      </c>
      <c r="C728" s="2" t="str">
        <f t="shared" si="56"/>
        <v>월</v>
      </c>
      <c r="D728" s="3">
        <v>44837</v>
      </c>
      <c r="E728" s="7">
        <v>355</v>
      </c>
      <c r="F728" s="2" t="s">
        <v>11</v>
      </c>
      <c r="G728" s="1">
        <v>85</v>
      </c>
      <c r="H728" s="6">
        <f t="shared" si="58"/>
        <v>270</v>
      </c>
      <c r="I728" s="1">
        <f>+COUNTIF(F$3:$F728,F728)</f>
        <v>67</v>
      </c>
      <c r="K728" s="132" t="str">
        <f t="shared" si="57"/>
        <v>평일</v>
      </c>
    </row>
    <row r="729" spans="1:11" ht="21.75" customHeight="1" x14ac:dyDescent="0.25">
      <c r="A729" s="2">
        <f t="shared" si="54"/>
        <v>2022</v>
      </c>
      <c r="B729" s="2">
        <f t="shared" si="55"/>
        <v>10</v>
      </c>
      <c r="C729" s="2" t="str">
        <f t="shared" si="56"/>
        <v>화</v>
      </c>
      <c r="D729" s="3">
        <v>44838</v>
      </c>
      <c r="E729" s="7">
        <v>61</v>
      </c>
      <c r="F729" s="2" t="s">
        <v>11</v>
      </c>
      <c r="G729" s="1">
        <v>16</v>
      </c>
      <c r="H729" s="6">
        <f t="shared" si="58"/>
        <v>45</v>
      </c>
      <c r="I729" s="1">
        <f>+COUNTIF(F$3:$F729,F729)</f>
        <v>68</v>
      </c>
      <c r="K729" s="132" t="str">
        <f t="shared" si="57"/>
        <v>평일</v>
      </c>
    </row>
    <row r="730" spans="1:11" ht="21.75" customHeight="1" x14ac:dyDescent="0.25">
      <c r="A730" s="2">
        <f t="shared" si="54"/>
        <v>2022</v>
      </c>
      <c r="B730" s="2">
        <f t="shared" si="55"/>
        <v>10</v>
      </c>
      <c r="C730" s="2" t="str">
        <f t="shared" si="56"/>
        <v>수</v>
      </c>
      <c r="D730" s="3">
        <v>44839</v>
      </c>
      <c r="E730" s="7">
        <v>78</v>
      </c>
      <c r="F730" s="2" t="s">
        <v>11</v>
      </c>
      <c r="G730" s="1">
        <v>15</v>
      </c>
      <c r="H730" s="6">
        <f t="shared" si="58"/>
        <v>63</v>
      </c>
      <c r="I730" s="1">
        <f>+COUNTIF(F$3:$F730,F730)</f>
        <v>69</v>
      </c>
      <c r="K730" s="132" t="str">
        <f t="shared" si="57"/>
        <v>평일</v>
      </c>
    </row>
    <row r="731" spans="1:11" ht="21.75" customHeight="1" x14ac:dyDescent="0.25">
      <c r="A731" s="2">
        <f t="shared" si="54"/>
        <v>2022</v>
      </c>
      <c r="B731" s="2">
        <f t="shared" si="55"/>
        <v>10</v>
      </c>
      <c r="C731" s="2" t="str">
        <f t="shared" si="56"/>
        <v>목</v>
      </c>
      <c r="D731" s="3">
        <v>44840</v>
      </c>
      <c r="E731" s="7">
        <v>92</v>
      </c>
      <c r="F731" s="2" t="s">
        <v>11</v>
      </c>
      <c r="G731" s="1">
        <v>24</v>
      </c>
      <c r="H731" s="6">
        <f t="shared" si="58"/>
        <v>68</v>
      </c>
      <c r="I731" s="1">
        <f>+COUNTIF(F$3:$F731,F731)</f>
        <v>70</v>
      </c>
      <c r="K731" s="132" t="str">
        <f t="shared" si="57"/>
        <v>평일</v>
      </c>
    </row>
    <row r="732" spans="1:11" ht="21.75" customHeight="1" x14ac:dyDescent="0.25">
      <c r="A732" s="2">
        <f t="shared" si="54"/>
        <v>2022</v>
      </c>
      <c r="B732" s="2">
        <f t="shared" si="55"/>
        <v>10</v>
      </c>
      <c r="C732" s="2" t="str">
        <f t="shared" si="56"/>
        <v>금</v>
      </c>
      <c r="D732" s="3">
        <v>44841</v>
      </c>
      <c r="E732" s="7">
        <v>134</v>
      </c>
      <c r="F732" s="2" t="s">
        <v>11</v>
      </c>
      <c r="G732" s="1">
        <v>19</v>
      </c>
      <c r="H732" s="6">
        <f t="shared" si="58"/>
        <v>115</v>
      </c>
      <c r="I732" s="1">
        <f>+COUNTIF(F$3:$F732,F732)</f>
        <v>71</v>
      </c>
      <c r="K732" s="132" t="str">
        <f t="shared" si="57"/>
        <v>평일</v>
      </c>
    </row>
    <row r="733" spans="1:11" ht="21.75" customHeight="1" x14ac:dyDescent="0.25">
      <c r="A733" s="2">
        <f t="shared" si="54"/>
        <v>2022</v>
      </c>
      <c r="B733" s="2">
        <f t="shared" si="55"/>
        <v>10</v>
      </c>
      <c r="C733" s="2" t="str">
        <f t="shared" si="56"/>
        <v>토</v>
      </c>
      <c r="D733" s="3">
        <v>44842</v>
      </c>
      <c r="E733" s="7">
        <v>450</v>
      </c>
      <c r="F733" s="2" t="s">
        <v>11</v>
      </c>
      <c r="G733" s="1">
        <v>74</v>
      </c>
      <c r="H733" s="6">
        <f t="shared" si="58"/>
        <v>376</v>
      </c>
      <c r="I733" s="1">
        <f>+COUNTIF(F$3:$F733,F733)</f>
        <v>72</v>
      </c>
      <c r="K733" s="132" t="str">
        <f t="shared" si="57"/>
        <v>주말</v>
      </c>
    </row>
    <row r="734" spans="1:11" ht="21.75" customHeight="1" x14ac:dyDescent="0.25">
      <c r="A734" s="2">
        <f t="shared" si="54"/>
        <v>2022</v>
      </c>
      <c r="B734" s="2">
        <f t="shared" si="55"/>
        <v>10</v>
      </c>
      <c r="C734" s="2" t="str">
        <f t="shared" si="56"/>
        <v>일</v>
      </c>
      <c r="D734" s="3">
        <v>44843</v>
      </c>
      <c r="E734" s="7">
        <v>510</v>
      </c>
      <c r="F734" s="2" t="s">
        <v>11</v>
      </c>
      <c r="G734" s="1">
        <v>95</v>
      </c>
      <c r="H734" s="6">
        <f t="shared" si="58"/>
        <v>415</v>
      </c>
      <c r="I734" s="1">
        <f>+COUNTIF(F$3:$F734,F734)</f>
        <v>73</v>
      </c>
      <c r="K734" s="132" t="str">
        <f t="shared" si="57"/>
        <v>주말</v>
      </c>
    </row>
    <row r="735" spans="1:11" ht="21.75" customHeight="1" x14ac:dyDescent="0.25">
      <c r="A735" s="2">
        <f t="shared" si="54"/>
        <v>2022</v>
      </c>
      <c r="B735" s="2">
        <f t="shared" si="55"/>
        <v>10</v>
      </c>
      <c r="C735" s="2" t="str">
        <f t="shared" si="56"/>
        <v>월</v>
      </c>
      <c r="D735" s="3">
        <v>44844</v>
      </c>
      <c r="E735" s="7">
        <v>372</v>
      </c>
      <c r="F735" s="2" t="s">
        <v>11</v>
      </c>
      <c r="G735" s="1">
        <v>81</v>
      </c>
      <c r="H735" s="6">
        <f t="shared" si="58"/>
        <v>291</v>
      </c>
      <c r="I735" s="1">
        <f>+COUNTIF(F$3:$F735,F735)</f>
        <v>74</v>
      </c>
      <c r="K735" s="132" t="str">
        <f t="shared" si="57"/>
        <v>평일</v>
      </c>
    </row>
    <row r="736" spans="1:11" ht="21.75" customHeight="1" x14ac:dyDescent="0.25">
      <c r="A736" s="2">
        <f t="shared" si="54"/>
        <v>2022</v>
      </c>
      <c r="B736" s="2">
        <f t="shared" si="55"/>
        <v>10</v>
      </c>
      <c r="C736" s="2" t="str">
        <f t="shared" si="56"/>
        <v>화</v>
      </c>
      <c r="D736" s="3">
        <v>44845</v>
      </c>
      <c r="E736" s="7">
        <v>82</v>
      </c>
      <c r="F736" s="2" t="s">
        <v>11</v>
      </c>
      <c r="G736" s="1">
        <v>18</v>
      </c>
      <c r="H736" s="6">
        <f t="shared" si="58"/>
        <v>64</v>
      </c>
      <c r="I736" s="1">
        <f>+COUNTIF(F$3:$F736,F736)</f>
        <v>75</v>
      </c>
      <c r="K736" s="132" t="str">
        <f t="shared" si="57"/>
        <v>평일</v>
      </c>
    </row>
    <row r="737" spans="1:11" ht="21.75" customHeight="1" x14ac:dyDescent="0.25">
      <c r="A737" s="2">
        <f t="shared" si="54"/>
        <v>2022</v>
      </c>
      <c r="B737" s="2">
        <f t="shared" si="55"/>
        <v>10</v>
      </c>
      <c r="C737" s="2" t="str">
        <f t="shared" si="56"/>
        <v>수</v>
      </c>
      <c r="D737" s="3">
        <v>44846</v>
      </c>
      <c r="E737" s="7">
        <v>124</v>
      </c>
      <c r="F737" s="2" t="s">
        <v>11</v>
      </c>
      <c r="G737" s="1">
        <v>20</v>
      </c>
      <c r="H737" s="6">
        <f t="shared" si="58"/>
        <v>104</v>
      </c>
      <c r="I737" s="1">
        <f>+COUNTIF(F$3:$F737,F737)</f>
        <v>76</v>
      </c>
      <c r="K737" s="132" t="str">
        <f t="shared" si="57"/>
        <v>평일</v>
      </c>
    </row>
    <row r="738" spans="1:11" ht="21.75" customHeight="1" x14ac:dyDescent="0.25">
      <c r="A738" s="2">
        <f t="shared" si="54"/>
        <v>2022</v>
      </c>
      <c r="B738" s="2">
        <f t="shared" si="55"/>
        <v>10</v>
      </c>
      <c r="C738" s="2" t="str">
        <f t="shared" si="56"/>
        <v>목</v>
      </c>
      <c r="D738" s="3">
        <v>44847</v>
      </c>
      <c r="E738" s="7">
        <v>70</v>
      </c>
      <c r="F738" s="2" t="s">
        <v>11</v>
      </c>
      <c r="G738" s="1">
        <v>20</v>
      </c>
      <c r="H738" s="6">
        <f t="shared" si="58"/>
        <v>50</v>
      </c>
      <c r="I738" s="1">
        <f>+COUNTIF(F$3:$F738,F738)</f>
        <v>77</v>
      </c>
      <c r="K738" s="132" t="str">
        <f t="shared" si="57"/>
        <v>평일</v>
      </c>
    </row>
    <row r="739" spans="1:11" ht="21.75" customHeight="1" x14ac:dyDescent="0.25">
      <c r="A739" s="2">
        <f t="shared" si="54"/>
        <v>2022</v>
      </c>
      <c r="B739" s="2">
        <f t="shared" si="55"/>
        <v>10</v>
      </c>
      <c r="C739" s="2" t="str">
        <f t="shared" si="56"/>
        <v>금</v>
      </c>
      <c r="D739" s="3">
        <v>44848</v>
      </c>
      <c r="E739" s="7">
        <v>192</v>
      </c>
      <c r="F739" s="2" t="s">
        <v>11</v>
      </c>
      <c r="G739" s="1">
        <v>37</v>
      </c>
      <c r="H739" s="6">
        <f t="shared" si="58"/>
        <v>155</v>
      </c>
      <c r="I739" s="1">
        <f>+COUNTIF(F$3:$F739,F739)</f>
        <v>78</v>
      </c>
      <c r="K739" s="132" t="str">
        <f t="shared" si="57"/>
        <v>평일</v>
      </c>
    </row>
    <row r="740" spans="1:11" ht="21.75" customHeight="1" x14ac:dyDescent="0.25">
      <c r="A740" s="2">
        <f t="shared" si="54"/>
        <v>2022</v>
      </c>
      <c r="B740" s="2">
        <f t="shared" si="55"/>
        <v>10</v>
      </c>
      <c r="C740" s="2" t="str">
        <f t="shared" si="56"/>
        <v>토</v>
      </c>
      <c r="D740" s="3">
        <v>44849</v>
      </c>
      <c r="E740" s="7">
        <v>524</v>
      </c>
      <c r="F740" s="2" t="s">
        <v>11</v>
      </c>
      <c r="G740" s="1">
        <v>129</v>
      </c>
      <c r="H740" s="6">
        <f t="shared" si="58"/>
        <v>395</v>
      </c>
      <c r="I740" s="1">
        <f>+COUNTIF(F$3:$F740,F740)</f>
        <v>79</v>
      </c>
      <c r="K740" s="132" t="str">
        <f t="shared" si="57"/>
        <v>주말</v>
      </c>
    </row>
    <row r="741" spans="1:11" ht="21.75" customHeight="1" x14ac:dyDescent="0.25">
      <c r="A741" s="2">
        <f t="shared" si="54"/>
        <v>2022</v>
      </c>
      <c r="B741" s="2">
        <f t="shared" si="55"/>
        <v>10</v>
      </c>
      <c r="C741" s="2" t="str">
        <f t="shared" si="56"/>
        <v>일</v>
      </c>
      <c r="D741" s="3">
        <v>44850</v>
      </c>
      <c r="E741" s="7">
        <v>445</v>
      </c>
      <c r="F741" s="2" t="s">
        <v>11</v>
      </c>
      <c r="G741" s="1">
        <v>101</v>
      </c>
      <c r="H741" s="6">
        <f t="shared" si="58"/>
        <v>344</v>
      </c>
      <c r="I741" s="1">
        <f>+COUNTIF(F$3:$F741,F741)</f>
        <v>80</v>
      </c>
      <c r="K741" s="132" t="str">
        <f t="shared" si="57"/>
        <v>주말</v>
      </c>
    </row>
    <row r="742" spans="1:11" ht="21.75" customHeight="1" x14ac:dyDescent="0.25">
      <c r="A742" s="2">
        <f t="shared" si="54"/>
        <v>2022</v>
      </c>
      <c r="B742" s="2">
        <f t="shared" si="55"/>
        <v>10</v>
      </c>
      <c r="C742" s="2" t="str">
        <f t="shared" si="56"/>
        <v>월</v>
      </c>
      <c r="D742" s="3">
        <v>44851</v>
      </c>
      <c r="E742" s="7">
        <v>0</v>
      </c>
      <c r="F742" s="2" t="s">
        <v>11</v>
      </c>
      <c r="G742" s="1">
        <v>0</v>
      </c>
      <c r="H742" s="6">
        <f t="shared" si="58"/>
        <v>0</v>
      </c>
      <c r="I742" s="1">
        <f>+COUNTIF(F$3:$F742,F742)</f>
        <v>81</v>
      </c>
      <c r="K742" s="132" t="str">
        <f t="shared" si="57"/>
        <v>평일</v>
      </c>
    </row>
    <row r="743" spans="1:11" ht="21.75" customHeight="1" x14ac:dyDescent="0.25">
      <c r="A743" s="2">
        <f t="shared" si="54"/>
        <v>2022</v>
      </c>
      <c r="B743" s="2">
        <f t="shared" si="55"/>
        <v>10</v>
      </c>
      <c r="C743" s="2" t="str">
        <f t="shared" si="56"/>
        <v>화</v>
      </c>
      <c r="D743" s="3">
        <v>44852</v>
      </c>
      <c r="E743" s="7">
        <v>194</v>
      </c>
      <c r="F743" s="2" t="s">
        <v>11</v>
      </c>
      <c r="G743" s="1">
        <v>34</v>
      </c>
      <c r="H743" s="6">
        <f t="shared" si="58"/>
        <v>160</v>
      </c>
      <c r="I743" s="1">
        <f>+COUNTIF(F$3:$F743,F743)</f>
        <v>82</v>
      </c>
      <c r="K743" s="132" t="str">
        <f t="shared" si="57"/>
        <v>평일</v>
      </c>
    </row>
    <row r="744" spans="1:11" ht="21.75" customHeight="1" x14ac:dyDescent="0.25">
      <c r="A744" s="2">
        <f t="shared" si="54"/>
        <v>2022</v>
      </c>
      <c r="B744" s="2">
        <f t="shared" si="55"/>
        <v>10</v>
      </c>
      <c r="C744" s="2" t="str">
        <f t="shared" si="56"/>
        <v>수</v>
      </c>
      <c r="D744" s="3">
        <v>44853</v>
      </c>
      <c r="E744" s="7">
        <v>91</v>
      </c>
      <c r="F744" s="2" t="s">
        <v>11</v>
      </c>
      <c r="G744" s="1">
        <v>29</v>
      </c>
      <c r="H744" s="6">
        <f t="shared" si="58"/>
        <v>62</v>
      </c>
      <c r="I744" s="1">
        <f>+COUNTIF(F$3:$F744,F744)</f>
        <v>83</v>
      </c>
      <c r="K744" s="132" t="str">
        <f t="shared" si="57"/>
        <v>평일</v>
      </c>
    </row>
    <row r="745" spans="1:11" ht="21.75" customHeight="1" x14ac:dyDescent="0.25">
      <c r="A745" s="2">
        <f t="shared" si="54"/>
        <v>2022</v>
      </c>
      <c r="B745" s="2">
        <f t="shared" si="55"/>
        <v>10</v>
      </c>
      <c r="C745" s="2" t="str">
        <f t="shared" si="56"/>
        <v>목</v>
      </c>
      <c r="D745" s="3">
        <v>44854</v>
      </c>
      <c r="E745" s="7">
        <v>110</v>
      </c>
      <c r="F745" s="2" t="s">
        <v>11</v>
      </c>
      <c r="G745" s="1">
        <v>35</v>
      </c>
      <c r="H745" s="6">
        <f t="shared" si="58"/>
        <v>75</v>
      </c>
      <c r="I745" s="1">
        <f>+COUNTIF(F$3:$F745,F745)</f>
        <v>84</v>
      </c>
      <c r="K745" s="132" t="str">
        <f t="shared" si="57"/>
        <v>평일</v>
      </c>
    </row>
    <row r="746" spans="1:11" ht="21.75" customHeight="1" x14ac:dyDescent="0.25">
      <c r="A746" s="2">
        <f t="shared" si="54"/>
        <v>2022</v>
      </c>
      <c r="B746" s="2">
        <f t="shared" si="55"/>
        <v>10</v>
      </c>
      <c r="C746" s="2" t="str">
        <f t="shared" si="56"/>
        <v>금</v>
      </c>
      <c r="D746" s="3">
        <v>44855</v>
      </c>
      <c r="E746" s="7">
        <v>124</v>
      </c>
      <c r="F746" s="2" t="s">
        <v>11</v>
      </c>
      <c r="G746" s="1">
        <v>36</v>
      </c>
      <c r="H746" s="6">
        <f t="shared" si="58"/>
        <v>88</v>
      </c>
      <c r="I746" s="1">
        <f>+COUNTIF(F$3:$F746,F746)</f>
        <v>85</v>
      </c>
      <c r="K746" s="132" t="str">
        <f t="shared" si="57"/>
        <v>평일</v>
      </c>
    </row>
    <row r="747" spans="1:11" ht="21.75" customHeight="1" x14ac:dyDescent="0.25">
      <c r="A747" s="2">
        <f t="shared" si="54"/>
        <v>2022</v>
      </c>
      <c r="B747" s="2">
        <f t="shared" si="55"/>
        <v>10</v>
      </c>
      <c r="C747" s="2" t="str">
        <f t="shared" si="56"/>
        <v>토</v>
      </c>
      <c r="D747" s="3">
        <v>44856</v>
      </c>
      <c r="E747" s="7">
        <v>394</v>
      </c>
      <c r="F747" s="2" t="s">
        <v>11</v>
      </c>
      <c r="G747" s="1">
        <v>114</v>
      </c>
      <c r="H747" s="6">
        <f t="shared" si="58"/>
        <v>280</v>
      </c>
      <c r="I747" s="1">
        <f>+COUNTIF(F$3:$F747,F747)</f>
        <v>86</v>
      </c>
      <c r="K747" s="132" t="str">
        <f t="shared" si="57"/>
        <v>주말</v>
      </c>
    </row>
    <row r="748" spans="1:11" ht="21.75" customHeight="1" x14ac:dyDescent="0.25">
      <c r="A748" s="2">
        <f t="shared" si="54"/>
        <v>2022</v>
      </c>
      <c r="B748" s="2">
        <f t="shared" si="55"/>
        <v>10</v>
      </c>
      <c r="C748" s="2" t="str">
        <f t="shared" si="56"/>
        <v>일</v>
      </c>
      <c r="D748" s="3">
        <v>44857</v>
      </c>
      <c r="E748" s="7">
        <v>469</v>
      </c>
      <c r="F748" s="2" t="s">
        <v>11</v>
      </c>
      <c r="G748" s="1">
        <v>127</v>
      </c>
      <c r="H748" s="6">
        <f t="shared" si="58"/>
        <v>342</v>
      </c>
      <c r="I748" s="1">
        <f>+COUNTIF(F$3:$F748,F748)</f>
        <v>87</v>
      </c>
      <c r="K748" s="132" t="str">
        <f t="shared" si="57"/>
        <v>주말</v>
      </c>
    </row>
    <row r="749" spans="1:11" ht="21.75" customHeight="1" x14ac:dyDescent="0.25">
      <c r="A749" s="2">
        <f t="shared" si="54"/>
        <v>2022</v>
      </c>
      <c r="B749" s="2">
        <f t="shared" si="55"/>
        <v>10</v>
      </c>
      <c r="C749" s="2" t="str">
        <f t="shared" si="56"/>
        <v>월</v>
      </c>
      <c r="D749" s="3">
        <v>44858</v>
      </c>
      <c r="E749" s="7">
        <v>110</v>
      </c>
      <c r="F749" s="2" t="s">
        <v>11</v>
      </c>
      <c r="G749" s="1">
        <v>26</v>
      </c>
      <c r="H749" s="6">
        <f t="shared" si="58"/>
        <v>84</v>
      </c>
      <c r="I749" s="1">
        <f>+COUNTIF(F$3:$F749,F749)</f>
        <v>88</v>
      </c>
      <c r="K749" s="132" t="str">
        <f t="shared" si="57"/>
        <v>평일</v>
      </c>
    </row>
    <row r="750" spans="1:11" ht="21.75" customHeight="1" x14ac:dyDescent="0.25">
      <c r="A750" s="2">
        <f t="shared" si="54"/>
        <v>2022</v>
      </c>
      <c r="B750" s="2">
        <f t="shared" si="55"/>
        <v>10</v>
      </c>
      <c r="C750" s="2" t="str">
        <f t="shared" si="56"/>
        <v>화</v>
      </c>
      <c r="D750" s="3">
        <v>44859</v>
      </c>
      <c r="E750" s="7">
        <v>112</v>
      </c>
      <c r="F750" s="2" t="s">
        <v>11</v>
      </c>
      <c r="G750" s="1">
        <v>18</v>
      </c>
      <c r="H750" s="6">
        <f t="shared" si="58"/>
        <v>94</v>
      </c>
      <c r="I750" s="1">
        <f>+COUNTIF(F$3:$F750,F750)</f>
        <v>89</v>
      </c>
      <c r="K750" s="132" t="str">
        <f t="shared" si="57"/>
        <v>평일</v>
      </c>
    </row>
    <row r="751" spans="1:11" ht="21.75" customHeight="1" x14ac:dyDescent="0.25">
      <c r="A751" s="2">
        <f t="shared" si="54"/>
        <v>2022</v>
      </c>
      <c r="B751" s="2">
        <f t="shared" si="55"/>
        <v>10</v>
      </c>
      <c r="C751" s="2" t="str">
        <f t="shared" si="56"/>
        <v>수</v>
      </c>
      <c r="D751" s="3">
        <v>44860</v>
      </c>
      <c r="E751" s="7">
        <v>192</v>
      </c>
      <c r="F751" s="2" t="s">
        <v>11</v>
      </c>
      <c r="G751" s="1">
        <v>41</v>
      </c>
      <c r="H751" s="6">
        <f t="shared" si="58"/>
        <v>151</v>
      </c>
      <c r="I751" s="1">
        <f>+COUNTIF(F$3:$F751,F751)</f>
        <v>90</v>
      </c>
      <c r="K751" s="132" t="str">
        <f t="shared" si="57"/>
        <v>평일</v>
      </c>
    </row>
    <row r="752" spans="1:11" ht="21.75" customHeight="1" x14ac:dyDescent="0.25">
      <c r="A752" s="2">
        <f t="shared" si="54"/>
        <v>2022</v>
      </c>
      <c r="B752" s="2">
        <f t="shared" si="55"/>
        <v>10</v>
      </c>
      <c r="C752" s="2" t="str">
        <f t="shared" si="56"/>
        <v>목</v>
      </c>
      <c r="D752" s="3">
        <v>44861</v>
      </c>
      <c r="E752" s="7">
        <v>134</v>
      </c>
      <c r="F752" s="2" t="s">
        <v>11</v>
      </c>
      <c r="G752" s="1">
        <v>44</v>
      </c>
      <c r="H752" s="6">
        <f t="shared" si="58"/>
        <v>90</v>
      </c>
      <c r="I752" s="1">
        <f>+COUNTIF(F$3:$F752,F752)</f>
        <v>91</v>
      </c>
      <c r="K752" s="132" t="str">
        <f t="shared" si="57"/>
        <v>평일</v>
      </c>
    </row>
    <row r="753" spans="1:11" ht="21.75" customHeight="1" x14ac:dyDescent="0.25">
      <c r="A753" s="2">
        <f t="shared" si="54"/>
        <v>2022</v>
      </c>
      <c r="B753" s="2">
        <f t="shared" si="55"/>
        <v>10</v>
      </c>
      <c r="C753" s="2" t="str">
        <f t="shared" si="56"/>
        <v>금</v>
      </c>
      <c r="D753" s="3">
        <v>44862</v>
      </c>
      <c r="E753" s="7">
        <v>277</v>
      </c>
      <c r="F753" s="2" t="s">
        <v>11</v>
      </c>
      <c r="G753" s="1">
        <v>50</v>
      </c>
      <c r="H753" s="6">
        <f t="shared" si="58"/>
        <v>227</v>
      </c>
      <c r="I753" s="1">
        <f>+COUNTIF(F$3:$F753,F753)</f>
        <v>92</v>
      </c>
      <c r="K753" s="132" t="str">
        <f t="shared" si="57"/>
        <v>평일</v>
      </c>
    </row>
    <row r="754" spans="1:11" ht="21.75" customHeight="1" x14ac:dyDescent="0.25">
      <c r="A754" s="2">
        <f t="shared" si="54"/>
        <v>2022</v>
      </c>
      <c r="B754" s="2">
        <f t="shared" si="55"/>
        <v>10</v>
      </c>
      <c r="C754" s="2" t="str">
        <f t="shared" si="56"/>
        <v>토</v>
      </c>
      <c r="D754" s="3">
        <v>44863</v>
      </c>
      <c r="E754" s="7">
        <v>457</v>
      </c>
      <c r="F754" s="2" t="s">
        <v>11</v>
      </c>
      <c r="G754" s="1">
        <v>186</v>
      </c>
      <c r="H754" s="6">
        <f t="shared" si="58"/>
        <v>271</v>
      </c>
      <c r="I754" s="1">
        <f>+COUNTIF(F$3:$F754,F754)</f>
        <v>93</v>
      </c>
      <c r="K754" s="132" t="str">
        <f t="shared" si="57"/>
        <v>주말</v>
      </c>
    </row>
    <row r="755" spans="1:11" ht="21.75" customHeight="1" x14ac:dyDescent="0.25">
      <c r="A755" s="2">
        <f t="shared" si="54"/>
        <v>2022</v>
      </c>
      <c r="B755" s="2">
        <f t="shared" si="55"/>
        <v>10</v>
      </c>
      <c r="C755" s="2" t="str">
        <f t="shared" si="56"/>
        <v>일</v>
      </c>
      <c r="D755" s="3">
        <v>44864</v>
      </c>
      <c r="E755" s="7">
        <v>402</v>
      </c>
      <c r="F755" s="2" t="s">
        <v>11</v>
      </c>
      <c r="G755" s="1">
        <v>188</v>
      </c>
      <c r="H755" s="6">
        <f t="shared" si="58"/>
        <v>214</v>
      </c>
      <c r="I755" s="1">
        <f>+COUNTIF(F$3:$F755,F755)</f>
        <v>94</v>
      </c>
      <c r="K755" s="132" t="str">
        <f t="shared" si="57"/>
        <v>주말</v>
      </c>
    </row>
    <row r="756" spans="1:11" ht="21.75" customHeight="1" x14ac:dyDescent="0.25">
      <c r="A756" s="2">
        <f t="shared" si="54"/>
        <v>2022</v>
      </c>
      <c r="B756" s="2">
        <f t="shared" si="55"/>
        <v>10</v>
      </c>
      <c r="C756" s="2" t="str">
        <f t="shared" si="56"/>
        <v>월</v>
      </c>
      <c r="D756" s="3">
        <v>44865</v>
      </c>
      <c r="E756" s="7">
        <v>168</v>
      </c>
      <c r="F756" s="2" t="s">
        <v>11</v>
      </c>
      <c r="G756" s="1">
        <v>58</v>
      </c>
      <c r="H756" s="6">
        <f t="shared" si="58"/>
        <v>110</v>
      </c>
      <c r="I756" s="1">
        <f>+COUNTIF(F$3:$F756,F756)</f>
        <v>95</v>
      </c>
      <c r="K756" s="132" t="str">
        <f t="shared" si="57"/>
        <v>평일</v>
      </c>
    </row>
    <row r="757" spans="1:11" ht="21.75" customHeight="1" x14ac:dyDescent="0.25">
      <c r="A757" s="2">
        <f t="shared" si="54"/>
        <v>2022</v>
      </c>
      <c r="B757" s="2">
        <f t="shared" si="55"/>
        <v>11</v>
      </c>
      <c r="C757" s="2" t="str">
        <f t="shared" si="56"/>
        <v>화</v>
      </c>
      <c r="D757" s="3">
        <v>44866</v>
      </c>
      <c r="E757" s="7">
        <v>164</v>
      </c>
      <c r="F757" s="2" t="s">
        <v>11</v>
      </c>
      <c r="G757" s="1">
        <v>56</v>
      </c>
      <c r="H757" s="6">
        <f t="shared" si="58"/>
        <v>108</v>
      </c>
      <c r="I757" s="1">
        <f>+COUNTIF(F$3:$F757,F757)</f>
        <v>96</v>
      </c>
      <c r="K757" s="132" t="str">
        <f t="shared" si="57"/>
        <v>평일</v>
      </c>
    </row>
    <row r="758" spans="1:11" ht="21.75" customHeight="1" x14ac:dyDescent="0.25">
      <c r="A758" s="2">
        <f t="shared" si="54"/>
        <v>2022</v>
      </c>
      <c r="B758" s="2">
        <f t="shared" si="55"/>
        <v>11</v>
      </c>
      <c r="C758" s="2" t="str">
        <f t="shared" si="56"/>
        <v>수</v>
      </c>
      <c r="D758" s="3">
        <v>44867</v>
      </c>
      <c r="E758" s="7">
        <v>241</v>
      </c>
      <c r="F758" s="2" t="s">
        <v>11</v>
      </c>
      <c r="G758" s="1">
        <v>101</v>
      </c>
      <c r="H758" s="6">
        <f t="shared" si="58"/>
        <v>140</v>
      </c>
      <c r="I758" s="1">
        <f>+COUNTIF(F$3:$F758,F758)</f>
        <v>97</v>
      </c>
      <c r="K758" s="132" t="str">
        <f t="shared" si="57"/>
        <v>평일</v>
      </c>
    </row>
    <row r="759" spans="1:11" ht="21.75" customHeight="1" x14ac:dyDescent="0.25">
      <c r="A759" s="2">
        <f t="shared" si="54"/>
        <v>2022</v>
      </c>
      <c r="B759" s="2">
        <f t="shared" si="55"/>
        <v>11</v>
      </c>
      <c r="C759" s="2" t="str">
        <f t="shared" si="56"/>
        <v>목</v>
      </c>
      <c r="D759" s="3">
        <v>44868</v>
      </c>
      <c r="E759" s="7">
        <v>212</v>
      </c>
      <c r="F759" s="2" t="s">
        <v>11</v>
      </c>
      <c r="G759" s="1">
        <v>97</v>
      </c>
      <c r="H759" s="6">
        <f t="shared" si="58"/>
        <v>115</v>
      </c>
      <c r="I759" s="1">
        <f>+COUNTIF(F$3:$F759,F759)</f>
        <v>98</v>
      </c>
      <c r="K759" s="132" t="str">
        <f t="shared" si="57"/>
        <v>평일</v>
      </c>
    </row>
    <row r="760" spans="1:11" ht="21.75" customHeight="1" x14ac:dyDescent="0.25">
      <c r="A760" s="2">
        <f t="shared" si="54"/>
        <v>2022</v>
      </c>
      <c r="B760" s="2">
        <f t="shared" si="55"/>
        <v>11</v>
      </c>
      <c r="C760" s="2" t="str">
        <f t="shared" si="56"/>
        <v>금</v>
      </c>
      <c r="D760" s="3">
        <v>44869</v>
      </c>
      <c r="E760" s="7">
        <v>278</v>
      </c>
      <c r="F760" s="2" t="s">
        <v>11</v>
      </c>
      <c r="G760" s="1">
        <v>126</v>
      </c>
      <c r="H760" s="6">
        <f t="shared" si="58"/>
        <v>152</v>
      </c>
      <c r="I760" s="1">
        <f>+COUNTIF(F$3:$F760,F760)</f>
        <v>99</v>
      </c>
      <c r="K760" s="132" t="str">
        <f t="shared" si="57"/>
        <v>평일</v>
      </c>
    </row>
    <row r="761" spans="1:11" ht="21.75" customHeight="1" x14ac:dyDescent="0.25">
      <c r="A761" s="2">
        <f t="shared" si="54"/>
        <v>2022</v>
      </c>
      <c r="B761" s="2">
        <f t="shared" si="55"/>
        <v>11</v>
      </c>
      <c r="C761" s="2" t="str">
        <f t="shared" si="56"/>
        <v>토</v>
      </c>
      <c r="D761" s="3">
        <v>44870</v>
      </c>
      <c r="E761" s="7">
        <v>799</v>
      </c>
      <c r="F761" s="2" t="s">
        <v>11</v>
      </c>
      <c r="G761" s="1">
        <v>419</v>
      </c>
      <c r="H761" s="6">
        <f t="shared" si="58"/>
        <v>380</v>
      </c>
      <c r="I761" s="1">
        <f>+COUNTIF(F$3:$F761,F761)</f>
        <v>100</v>
      </c>
      <c r="K761" s="132" t="str">
        <f t="shared" si="57"/>
        <v>주말</v>
      </c>
    </row>
    <row r="762" spans="1:11" ht="21.75" customHeight="1" x14ac:dyDescent="0.25">
      <c r="A762" s="2">
        <f t="shared" si="54"/>
        <v>2022</v>
      </c>
      <c r="B762" s="2">
        <f t="shared" si="55"/>
        <v>11</v>
      </c>
      <c r="C762" s="2" t="str">
        <f t="shared" si="56"/>
        <v>일</v>
      </c>
      <c r="D762" s="3">
        <v>44871</v>
      </c>
      <c r="E762" s="7">
        <v>816</v>
      </c>
      <c r="F762" s="2" t="s">
        <v>11</v>
      </c>
      <c r="G762" s="1">
        <v>461</v>
      </c>
      <c r="H762" s="6">
        <f t="shared" si="58"/>
        <v>355</v>
      </c>
      <c r="I762" s="1">
        <f>+COUNTIF(F$3:$F762,F762)</f>
        <v>101</v>
      </c>
      <c r="K762" s="132" t="str">
        <f t="shared" si="57"/>
        <v>주말</v>
      </c>
    </row>
    <row r="763" spans="1:11" ht="21.75" customHeight="1" x14ac:dyDescent="0.25">
      <c r="A763" s="2">
        <f t="shared" si="54"/>
        <v>2022</v>
      </c>
      <c r="B763" s="2">
        <f t="shared" si="55"/>
        <v>11</v>
      </c>
      <c r="C763" s="2" t="str">
        <f t="shared" si="56"/>
        <v>월</v>
      </c>
      <c r="D763" s="3">
        <v>44872</v>
      </c>
      <c r="E763" s="7">
        <v>0</v>
      </c>
      <c r="F763" s="2">
        <v>0</v>
      </c>
      <c r="I763" s="1">
        <f>+COUNTIF(F$3:$F763,F763)</f>
        <v>182</v>
      </c>
      <c r="K763" s="132" t="str">
        <f t="shared" si="57"/>
        <v>평일</v>
      </c>
    </row>
    <row r="764" spans="1:11" ht="21.75" customHeight="1" x14ac:dyDescent="0.25">
      <c r="A764" s="2">
        <f t="shared" si="54"/>
        <v>2022</v>
      </c>
      <c r="B764" s="2">
        <f t="shared" si="55"/>
        <v>11</v>
      </c>
      <c r="C764" s="2" t="str">
        <f t="shared" si="56"/>
        <v>화</v>
      </c>
      <c r="D764" s="3">
        <v>44873</v>
      </c>
      <c r="E764" s="7">
        <v>0</v>
      </c>
      <c r="F764" s="2">
        <v>0</v>
      </c>
      <c r="I764" s="1">
        <f>+COUNTIF(F$3:$F764,F764)</f>
        <v>183</v>
      </c>
      <c r="K764" s="132" t="str">
        <f t="shared" si="57"/>
        <v>평일</v>
      </c>
    </row>
    <row r="765" spans="1:11" ht="21.75" customHeight="1" x14ac:dyDescent="0.25">
      <c r="A765" s="2">
        <f t="shared" si="54"/>
        <v>2022</v>
      </c>
      <c r="B765" s="2">
        <f t="shared" si="55"/>
        <v>11</v>
      </c>
      <c r="C765" s="2" t="str">
        <f t="shared" si="56"/>
        <v>수</v>
      </c>
      <c r="D765" s="3">
        <v>44874</v>
      </c>
      <c r="E765" s="7">
        <v>0</v>
      </c>
      <c r="F765" s="2">
        <v>0</v>
      </c>
      <c r="I765" s="1">
        <f>+COUNTIF(F$3:$F765,F765)</f>
        <v>184</v>
      </c>
      <c r="K765" s="132" t="str">
        <f t="shared" si="57"/>
        <v>평일</v>
      </c>
    </row>
    <row r="766" spans="1:11" ht="21.75" customHeight="1" x14ac:dyDescent="0.25">
      <c r="A766" s="2">
        <f t="shared" si="54"/>
        <v>2022</v>
      </c>
      <c r="B766" s="2">
        <f t="shared" si="55"/>
        <v>11</v>
      </c>
      <c r="C766" s="2" t="str">
        <f t="shared" si="56"/>
        <v>목</v>
      </c>
      <c r="D766" s="3">
        <v>44875</v>
      </c>
      <c r="E766" s="7">
        <v>0</v>
      </c>
      <c r="F766" s="2">
        <v>0</v>
      </c>
      <c r="I766" s="1">
        <f>+COUNTIF(F$3:$F766,F766)</f>
        <v>185</v>
      </c>
      <c r="K766" s="132" t="str">
        <f t="shared" si="57"/>
        <v>평일</v>
      </c>
    </row>
    <row r="767" spans="1:11" ht="21.75" customHeight="1" x14ac:dyDescent="0.25">
      <c r="A767" s="2">
        <f t="shared" si="54"/>
        <v>2022</v>
      </c>
      <c r="B767" s="2">
        <f t="shared" si="55"/>
        <v>11</v>
      </c>
      <c r="C767" s="2" t="str">
        <f t="shared" si="56"/>
        <v>금</v>
      </c>
      <c r="D767" s="3">
        <v>44876</v>
      </c>
      <c r="E767" s="7">
        <v>0</v>
      </c>
      <c r="F767" s="2">
        <v>0</v>
      </c>
      <c r="I767" s="1">
        <f>+COUNTIF(F$3:$F767,F767)</f>
        <v>186</v>
      </c>
      <c r="K767" s="132" t="str">
        <f t="shared" si="57"/>
        <v>평일</v>
      </c>
    </row>
    <row r="768" spans="1:11" ht="21.75" customHeight="1" x14ac:dyDescent="0.25">
      <c r="A768" s="2">
        <f t="shared" si="54"/>
        <v>2022</v>
      </c>
      <c r="B768" s="2">
        <f t="shared" si="55"/>
        <v>11</v>
      </c>
      <c r="C768" s="2" t="str">
        <f t="shared" si="56"/>
        <v>토</v>
      </c>
      <c r="D768" s="3">
        <v>44877</v>
      </c>
      <c r="E768" s="7">
        <v>0</v>
      </c>
      <c r="F768" s="2">
        <v>0</v>
      </c>
      <c r="I768" s="1">
        <f>+COUNTIF(F$3:$F768,F768)</f>
        <v>187</v>
      </c>
      <c r="K768" s="132" t="str">
        <f t="shared" si="57"/>
        <v>주말</v>
      </c>
    </row>
    <row r="769" spans="1:11" ht="21.75" customHeight="1" x14ac:dyDescent="0.25">
      <c r="A769" s="2">
        <f t="shared" si="54"/>
        <v>2022</v>
      </c>
      <c r="B769" s="2">
        <f t="shared" si="55"/>
        <v>11</v>
      </c>
      <c r="C769" s="2" t="str">
        <f t="shared" si="56"/>
        <v>일</v>
      </c>
      <c r="D769" s="3">
        <v>44878</v>
      </c>
      <c r="E769" s="7">
        <v>0</v>
      </c>
      <c r="F769" s="2">
        <v>0</v>
      </c>
      <c r="I769" s="1">
        <f>+COUNTIF(F$3:$F769,F769)</f>
        <v>188</v>
      </c>
      <c r="K769" s="132" t="str">
        <f t="shared" si="57"/>
        <v>주말</v>
      </c>
    </row>
    <row r="770" spans="1:11" ht="21.75" customHeight="1" x14ac:dyDescent="0.25">
      <c r="A770" s="2">
        <f t="shared" si="54"/>
        <v>2022</v>
      </c>
      <c r="B770" s="2">
        <f t="shared" si="55"/>
        <v>11</v>
      </c>
      <c r="C770" s="2" t="str">
        <f t="shared" si="56"/>
        <v>월</v>
      </c>
      <c r="D770" s="3">
        <v>44879</v>
      </c>
      <c r="E770" s="7">
        <v>0</v>
      </c>
      <c r="F770" s="2">
        <v>0</v>
      </c>
      <c r="I770" s="1">
        <f>+COUNTIF(F$3:$F770,F770)</f>
        <v>189</v>
      </c>
      <c r="K770" s="132" t="str">
        <f t="shared" si="57"/>
        <v>평일</v>
      </c>
    </row>
    <row r="771" spans="1:11" ht="21.75" customHeight="1" x14ac:dyDescent="0.25">
      <c r="A771" s="2">
        <f t="shared" si="54"/>
        <v>2022</v>
      </c>
      <c r="B771" s="2">
        <f t="shared" si="55"/>
        <v>11</v>
      </c>
      <c r="C771" s="2" t="str">
        <f t="shared" si="56"/>
        <v>화</v>
      </c>
      <c r="D771" s="3">
        <v>44880</v>
      </c>
      <c r="E771" s="7">
        <v>0</v>
      </c>
      <c r="F771" s="2">
        <v>0</v>
      </c>
      <c r="I771" s="1">
        <f>+COUNTIF(F$3:$F771,F771)</f>
        <v>190</v>
      </c>
      <c r="K771" s="132" t="str">
        <f t="shared" si="57"/>
        <v>평일</v>
      </c>
    </row>
    <row r="772" spans="1:11" ht="21.75" customHeight="1" x14ac:dyDescent="0.25">
      <c r="A772" s="2">
        <f t="shared" ref="A772:A835" si="59">+YEAR(D772)</f>
        <v>2022</v>
      </c>
      <c r="B772" s="2">
        <f t="shared" ref="B772:B835" si="60">+MONTH(D772)</f>
        <v>11</v>
      </c>
      <c r="C772" s="2" t="str">
        <f t="shared" ref="C772:C835" si="61">+TEXT(D772,"aaa")</f>
        <v>수</v>
      </c>
      <c r="D772" s="3">
        <v>44881</v>
      </c>
      <c r="E772" s="7">
        <v>0</v>
      </c>
      <c r="F772" s="2">
        <v>0</v>
      </c>
      <c r="I772" s="1">
        <f>+COUNTIF(F$3:$F772,F772)</f>
        <v>191</v>
      </c>
      <c r="K772" s="132" t="str">
        <f t="shared" ref="K772:K835" si="62">+IF(OR(C772="토",C772="일"),"주말","평일")</f>
        <v>평일</v>
      </c>
    </row>
    <row r="773" spans="1:11" ht="21.75" customHeight="1" x14ac:dyDescent="0.25">
      <c r="A773" s="2">
        <f t="shared" si="59"/>
        <v>2022</v>
      </c>
      <c r="B773" s="2">
        <f t="shared" si="60"/>
        <v>11</v>
      </c>
      <c r="C773" s="2" t="str">
        <f t="shared" si="61"/>
        <v>목</v>
      </c>
      <c r="D773" s="3">
        <v>44882</v>
      </c>
      <c r="E773" s="7">
        <v>0</v>
      </c>
      <c r="F773" s="2">
        <v>0</v>
      </c>
      <c r="I773" s="1">
        <f>+COUNTIF(F$3:$F773,F773)</f>
        <v>192</v>
      </c>
      <c r="K773" s="132" t="str">
        <f t="shared" si="62"/>
        <v>평일</v>
      </c>
    </row>
    <row r="774" spans="1:11" ht="21.75" customHeight="1" x14ac:dyDescent="0.25">
      <c r="A774" s="2">
        <f t="shared" si="59"/>
        <v>2022</v>
      </c>
      <c r="B774" s="2">
        <f t="shared" si="60"/>
        <v>11</v>
      </c>
      <c r="C774" s="2" t="str">
        <f t="shared" si="61"/>
        <v>금</v>
      </c>
      <c r="D774" s="3">
        <v>44883</v>
      </c>
      <c r="E774" s="7">
        <v>0</v>
      </c>
      <c r="F774" s="2">
        <v>0</v>
      </c>
      <c r="I774" s="1">
        <f>+COUNTIF(F$3:$F774,F774)</f>
        <v>193</v>
      </c>
      <c r="K774" s="132" t="str">
        <f t="shared" si="62"/>
        <v>평일</v>
      </c>
    </row>
    <row r="775" spans="1:11" ht="21.75" customHeight="1" x14ac:dyDescent="0.25">
      <c r="A775" s="2">
        <f t="shared" si="59"/>
        <v>2022</v>
      </c>
      <c r="B775" s="2">
        <f t="shared" si="60"/>
        <v>11</v>
      </c>
      <c r="C775" s="2" t="str">
        <f t="shared" si="61"/>
        <v>토</v>
      </c>
      <c r="D775" s="3">
        <v>44884</v>
      </c>
      <c r="E775" s="7">
        <v>0</v>
      </c>
      <c r="F775" s="2">
        <v>0</v>
      </c>
      <c r="I775" s="1">
        <f>+COUNTIF(F$3:$F775,F775)</f>
        <v>194</v>
      </c>
      <c r="K775" s="132" t="str">
        <f t="shared" si="62"/>
        <v>주말</v>
      </c>
    </row>
    <row r="776" spans="1:11" ht="21.75" customHeight="1" x14ac:dyDescent="0.25">
      <c r="A776" s="2">
        <f t="shared" si="59"/>
        <v>2022</v>
      </c>
      <c r="B776" s="2">
        <f t="shared" si="60"/>
        <v>11</v>
      </c>
      <c r="C776" s="2" t="str">
        <f t="shared" si="61"/>
        <v>일</v>
      </c>
      <c r="D776" s="3">
        <v>44885</v>
      </c>
      <c r="E776" s="7">
        <v>0</v>
      </c>
      <c r="F776" s="2">
        <v>0</v>
      </c>
      <c r="I776" s="1">
        <f>+COUNTIF(F$3:$F776,F776)</f>
        <v>195</v>
      </c>
      <c r="K776" s="132" t="str">
        <f t="shared" si="62"/>
        <v>주말</v>
      </c>
    </row>
    <row r="777" spans="1:11" ht="21.75" customHeight="1" x14ac:dyDescent="0.25">
      <c r="A777" s="2">
        <f t="shared" si="59"/>
        <v>2022</v>
      </c>
      <c r="B777" s="2">
        <f t="shared" si="60"/>
        <v>11</v>
      </c>
      <c r="C777" s="2" t="str">
        <f t="shared" si="61"/>
        <v>월</v>
      </c>
      <c r="D777" s="3">
        <v>44886</v>
      </c>
      <c r="E777" s="7">
        <v>0</v>
      </c>
      <c r="F777" s="2">
        <v>0</v>
      </c>
      <c r="I777" s="1">
        <f>+COUNTIF(F$3:$F777,F777)</f>
        <v>196</v>
      </c>
      <c r="K777" s="132" t="str">
        <f t="shared" si="62"/>
        <v>평일</v>
      </c>
    </row>
    <row r="778" spans="1:11" ht="21.75" customHeight="1" x14ac:dyDescent="0.25">
      <c r="A778" s="2">
        <f t="shared" si="59"/>
        <v>2022</v>
      </c>
      <c r="B778" s="2">
        <f t="shared" si="60"/>
        <v>11</v>
      </c>
      <c r="C778" s="2" t="str">
        <f t="shared" si="61"/>
        <v>화</v>
      </c>
      <c r="D778" s="3">
        <v>44887</v>
      </c>
      <c r="E778" s="7">
        <v>0</v>
      </c>
      <c r="F778" s="2">
        <v>0</v>
      </c>
      <c r="I778" s="1">
        <f>+COUNTIF(F$3:$F778,F778)</f>
        <v>197</v>
      </c>
      <c r="K778" s="132" t="str">
        <f t="shared" si="62"/>
        <v>평일</v>
      </c>
    </row>
    <row r="779" spans="1:11" ht="21.75" customHeight="1" x14ac:dyDescent="0.25">
      <c r="A779" s="2">
        <f t="shared" si="59"/>
        <v>2022</v>
      </c>
      <c r="B779" s="2">
        <f t="shared" si="60"/>
        <v>11</v>
      </c>
      <c r="C779" s="2" t="str">
        <f t="shared" si="61"/>
        <v>수</v>
      </c>
      <c r="D779" s="3">
        <v>44888</v>
      </c>
      <c r="E779" s="7">
        <v>0</v>
      </c>
      <c r="F779" s="2">
        <v>0</v>
      </c>
      <c r="I779" s="1">
        <f>+COUNTIF(F$3:$F779,F779)</f>
        <v>198</v>
      </c>
      <c r="K779" s="132" t="str">
        <f t="shared" si="62"/>
        <v>평일</v>
      </c>
    </row>
    <row r="780" spans="1:11" ht="21.75" customHeight="1" x14ac:dyDescent="0.25">
      <c r="A780" s="2">
        <f t="shared" si="59"/>
        <v>2022</v>
      </c>
      <c r="B780" s="2">
        <f t="shared" si="60"/>
        <v>11</v>
      </c>
      <c r="C780" s="2" t="str">
        <f t="shared" si="61"/>
        <v>목</v>
      </c>
      <c r="D780" s="3">
        <v>44889</v>
      </c>
      <c r="E780" s="7">
        <v>0</v>
      </c>
      <c r="F780" s="2">
        <v>0</v>
      </c>
      <c r="I780" s="1">
        <f>+COUNTIF(F$3:$F780,F780)</f>
        <v>199</v>
      </c>
      <c r="K780" s="132" t="str">
        <f t="shared" si="62"/>
        <v>평일</v>
      </c>
    </row>
    <row r="781" spans="1:11" ht="21.75" customHeight="1" x14ac:dyDescent="0.25">
      <c r="A781" s="2">
        <f t="shared" si="59"/>
        <v>2022</v>
      </c>
      <c r="B781" s="2">
        <f t="shared" si="60"/>
        <v>11</v>
      </c>
      <c r="C781" s="2" t="str">
        <f t="shared" si="61"/>
        <v>금</v>
      </c>
      <c r="D781" s="3">
        <v>44890</v>
      </c>
      <c r="E781" s="7">
        <v>0</v>
      </c>
      <c r="F781" s="2">
        <v>0</v>
      </c>
      <c r="I781" s="1">
        <f>+COUNTIF(F$3:$F781,F781)</f>
        <v>200</v>
      </c>
      <c r="K781" s="132" t="str">
        <f t="shared" si="62"/>
        <v>평일</v>
      </c>
    </row>
    <row r="782" spans="1:11" ht="21.75" customHeight="1" x14ac:dyDescent="0.25">
      <c r="A782" s="2">
        <f t="shared" si="59"/>
        <v>2022</v>
      </c>
      <c r="B782" s="2">
        <f t="shared" si="60"/>
        <v>11</v>
      </c>
      <c r="C782" s="2" t="str">
        <f t="shared" si="61"/>
        <v>토</v>
      </c>
      <c r="D782" s="3">
        <v>44891</v>
      </c>
      <c r="E782" s="7">
        <v>0</v>
      </c>
      <c r="F782" s="2">
        <v>0</v>
      </c>
      <c r="I782" s="1">
        <f>+COUNTIF(F$3:$F782,F782)</f>
        <v>201</v>
      </c>
      <c r="K782" s="132" t="str">
        <f t="shared" si="62"/>
        <v>주말</v>
      </c>
    </row>
    <row r="783" spans="1:11" ht="21.75" customHeight="1" x14ac:dyDescent="0.25">
      <c r="A783" s="2">
        <f t="shared" si="59"/>
        <v>2022</v>
      </c>
      <c r="B783" s="2">
        <f t="shared" si="60"/>
        <v>11</v>
      </c>
      <c r="C783" s="2" t="str">
        <f t="shared" si="61"/>
        <v>일</v>
      </c>
      <c r="D783" s="3">
        <v>44892</v>
      </c>
      <c r="E783" s="7">
        <v>0</v>
      </c>
      <c r="F783" s="2">
        <v>0</v>
      </c>
      <c r="I783" s="1">
        <f>+COUNTIF(F$3:$F783,F783)</f>
        <v>202</v>
      </c>
      <c r="K783" s="132" t="str">
        <f t="shared" si="62"/>
        <v>주말</v>
      </c>
    </row>
    <row r="784" spans="1:11" ht="21.75" customHeight="1" x14ac:dyDescent="0.25">
      <c r="A784" s="2">
        <f t="shared" si="59"/>
        <v>2022</v>
      </c>
      <c r="B784" s="2">
        <f t="shared" si="60"/>
        <v>11</v>
      </c>
      <c r="C784" s="2" t="str">
        <f t="shared" si="61"/>
        <v>월</v>
      </c>
      <c r="D784" s="3">
        <v>44893</v>
      </c>
      <c r="E784" s="7">
        <v>0</v>
      </c>
      <c r="F784" s="2">
        <v>0</v>
      </c>
      <c r="I784" s="1">
        <f>+COUNTIF(F$3:$F784,F784)</f>
        <v>203</v>
      </c>
      <c r="K784" s="132" t="str">
        <f t="shared" si="62"/>
        <v>평일</v>
      </c>
    </row>
    <row r="785" spans="1:11" ht="21.75" customHeight="1" x14ac:dyDescent="0.25">
      <c r="A785" s="2">
        <f t="shared" si="59"/>
        <v>2022</v>
      </c>
      <c r="B785" s="2">
        <f t="shared" si="60"/>
        <v>11</v>
      </c>
      <c r="C785" s="2" t="str">
        <f t="shared" si="61"/>
        <v>화</v>
      </c>
      <c r="D785" s="3">
        <v>44894</v>
      </c>
      <c r="E785" s="7">
        <v>0</v>
      </c>
      <c r="F785" s="2">
        <v>0</v>
      </c>
      <c r="I785" s="1">
        <f>+COUNTIF(F$3:$F785,F785)</f>
        <v>204</v>
      </c>
      <c r="K785" s="132" t="str">
        <f t="shared" si="62"/>
        <v>평일</v>
      </c>
    </row>
    <row r="786" spans="1:11" ht="21.75" customHeight="1" x14ac:dyDescent="0.25">
      <c r="A786" s="2">
        <f t="shared" si="59"/>
        <v>2022</v>
      </c>
      <c r="B786" s="2">
        <f t="shared" si="60"/>
        <v>11</v>
      </c>
      <c r="C786" s="2" t="str">
        <f t="shared" si="61"/>
        <v>수</v>
      </c>
      <c r="D786" s="3">
        <v>44895</v>
      </c>
      <c r="E786" s="7">
        <v>0</v>
      </c>
      <c r="F786" s="2">
        <v>0</v>
      </c>
      <c r="I786" s="1">
        <f>+COUNTIF(F$3:$F786,F786)</f>
        <v>205</v>
      </c>
      <c r="K786" s="132" t="str">
        <f t="shared" si="62"/>
        <v>평일</v>
      </c>
    </row>
    <row r="787" spans="1:11" ht="21.75" customHeight="1" x14ac:dyDescent="0.25">
      <c r="A787" s="2">
        <f t="shared" si="59"/>
        <v>2022</v>
      </c>
      <c r="B787" s="2">
        <f t="shared" si="60"/>
        <v>12</v>
      </c>
      <c r="C787" s="2" t="str">
        <f t="shared" si="61"/>
        <v>목</v>
      </c>
      <c r="D787" s="3">
        <v>44896</v>
      </c>
      <c r="E787" s="7">
        <v>0</v>
      </c>
      <c r="F787" s="2">
        <v>0</v>
      </c>
      <c r="I787" s="1">
        <f>+COUNTIF(F$3:$F787,F787)</f>
        <v>206</v>
      </c>
      <c r="K787" s="132" t="str">
        <f t="shared" si="62"/>
        <v>평일</v>
      </c>
    </row>
    <row r="788" spans="1:11" ht="21.75" customHeight="1" x14ac:dyDescent="0.25">
      <c r="A788" s="2">
        <f t="shared" si="59"/>
        <v>2022</v>
      </c>
      <c r="B788" s="2">
        <f t="shared" si="60"/>
        <v>12</v>
      </c>
      <c r="C788" s="2" t="str">
        <f t="shared" si="61"/>
        <v>금</v>
      </c>
      <c r="D788" s="3">
        <v>44897</v>
      </c>
      <c r="E788" s="7">
        <v>0</v>
      </c>
      <c r="F788" s="2">
        <v>0</v>
      </c>
      <c r="I788" s="1">
        <f>+COUNTIF(F$3:$F788,F788)</f>
        <v>207</v>
      </c>
      <c r="K788" s="132" t="str">
        <f t="shared" si="62"/>
        <v>평일</v>
      </c>
    </row>
    <row r="789" spans="1:11" ht="21.75" customHeight="1" x14ac:dyDescent="0.25">
      <c r="A789" s="2">
        <f t="shared" si="59"/>
        <v>2022</v>
      </c>
      <c r="B789" s="2">
        <f t="shared" si="60"/>
        <v>12</v>
      </c>
      <c r="C789" s="2" t="str">
        <f t="shared" si="61"/>
        <v>토</v>
      </c>
      <c r="D789" s="3">
        <v>44898</v>
      </c>
      <c r="E789" s="7">
        <v>0</v>
      </c>
      <c r="F789" s="2">
        <v>0</v>
      </c>
      <c r="I789" s="1">
        <f>+COUNTIF(F$3:$F789,F789)</f>
        <v>208</v>
      </c>
      <c r="K789" s="132" t="str">
        <f t="shared" si="62"/>
        <v>주말</v>
      </c>
    </row>
    <row r="790" spans="1:11" ht="21.75" customHeight="1" x14ac:dyDescent="0.25">
      <c r="A790" s="2">
        <f t="shared" si="59"/>
        <v>2022</v>
      </c>
      <c r="B790" s="2">
        <f t="shared" si="60"/>
        <v>12</v>
      </c>
      <c r="C790" s="2" t="str">
        <f t="shared" si="61"/>
        <v>일</v>
      </c>
      <c r="D790" s="3">
        <v>44899</v>
      </c>
      <c r="E790" s="7">
        <v>0</v>
      </c>
      <c r="F790" s="2">
        <v>0</v>
      </c>
      <c r="I790" s="1">
        <f>+COUNTIF(F$3:$F790,F790)</f>
        <v>209</v>
      </c>
      <c r="K790" s="132" t="str">
        <f t="shared" si="62"/>
        <v>주말</v>
      </c>
    </row>
    <row r="791" spans="1:11" ht="21.75" customHeight="1" x14ac:dyDescent="0.25">
      <c r="A791" s="2">
        <f t="shared" si="59"/>
        <v>2022</v>
      </c>
      <c r="B791" s="2">
        <f t="shared" si="60"/>
        <v>12</v>
      </c>
      <c r="C791" s="2" t="str">
        <f t="shared" si="61"/>
        <v>월</v>
      </c>
      <c r="D791" s="3">
        <v>44900</v>
      </c>
      <c r="E791" s="7">
        <v>0</v>
      </c>
      <c r="F791" s="2">
        <v>0</v>
      </c>
      <c r="I791" s="1">
        <f>+COUNTIF(F$3:$F791,F791)</f>
        <v>210</v>
      </c>
      <c r="K791" s="132" t="str">
        <f t="shared" si="62"/>
        <v>평일</v>
      </c>
    </row>
    <row r="792" spans="1:11" ht="21.75" customHeight="1" x14ac:dyDescent="0.25">
      <c r="A792" s="2">
        <f t="shared" si="59"/>
        <v>2022</v>
      </c>
      <c r="B792" s="2">
        <f t="shared" si="60"/>
        <v>12</v>
      </c>
      <c r="C792" s="2" t="str">
        <f t="shared" si="61"/>
        <v>화</v>
      </c>
      <c r="D792" s="3">
        <v>44901</v>
      </c>
      <c r="E792" s="7">
        <v>0</v>
      </c>
      <c r="F792" s="2">
        <v>0</v>
      </c>
      <c r="I792" s="1">
        <f>+COUNTIF(F$3:$F792,F792)</f>
        <v>211</v>
      </c>
      <c r="K792" s="132" t="str">
        <f t="shared" si="62"/>
        <v>평일</v>
      </c>
    </row>
    <row r="793" spans="1:11" ht="21.75" customHeight="1" x14ac:dyDescent="0.25">
      <c r="A793" s="2">
        <f t="shared" si="59"/>
        <v>2022</v>
      </c>
      <c r="B793" s="2">
        <f t="shared" si="60"/>
        <v>12</v>
      </c>
      <c r="C793" s="2" t="str">
        <f t="shared" si="61"/>
        <v>수</v>
      </c>
      <c r="D793" s="3">
        <v>44902</v>
      </c>
      <c r="E793" s="7">
        <v>0</v>
      </c>
      <c r="F793" s="2">
        <v>0</v>
      </c>
      <c r="I793" s="1">
        <f>+COUNTIF(F$3:$F793,F793)</f>
        <v>212</v>
      </c>
      <c r="K793" s="132" t="str">
        <f t="shared" si="62"/>
        <v>평일</v>
      </c>
    </row>
    <row r="794" spans="1:11" ht="21.75" customHeight="1" x14ac:dyDescent="0.25">
      <c r="A794" s="2">
        <f t="shared" si="59"/>
        <v>2022</v>
      </c>
      <c r="B794" s="2">
        <f t="shared" si="60"/>
        <v>12</v>
      </c>
      <c r="C794" s="2" t="str">
        <f t="shared" si="61"/>
        <v>목</v>
      </c>
      <c r="D794" s="3">
        <v>44903</v>
      </c>
      <c r="E794" s="7">
        <v>0</v>
      </c>
      <c r="F794" s="2">
        <v>0</v>
      </c>
      <c r="I794" s="1">
        <f>+COUNTIF(F$3:$F794,F794)</f>
        <v>213</v>
      </c>
      <c r="K794" s="132" t="str">
        <f t="shared" si="62"/>
        <v>평일</v>
      </c>
    </row>
    <row r="795" spans="1:11" ht="21.75" customHeight="1" x14ac:dyDescent="0.25">
      <c r="A795" s="2">
        <f t="shared" si="59"/>
        <v>2022</v>
      </c>
      <c r="B795" s="2">
        <f t="shared" si="60"/>
        <v>12</v>
      </c>
      <c r="C795" s="2" t="str">
        <f t="shared" si="61"/>
        <v>금</v>
      </c>
      <c r="D795" s="3">
        <v>44904</v>
      </c>
      <c r="E795" s="7">
        <v>0</v>
      </c>
      <c r="F795" s="2">
        <v>0</v>
      </c>
      <c r="I795" s="1">
        <f>+COUNTIF(F$3:$F795,F795)</f>
        <v>214</v>
      </c>
      <c r="K795" s="132" t="str">
        <f t="shared" si="62"/>
        <v>평일</v>
      </c>
    </row>
    <row r="796" spans="1:11" ht="21.75" customHeight="1" x14ac:dyDescent="0.25">
      <c r="A796" s="2">
        <f t="shared" si="59"/>
        <v>2022</v>
      </c>
      <c r="B796" s="2">
        <f t="shared" si="60"/>
        <v>12</v>
      </c>
      <c r="C796" s="2" t="str">
        <f t="shared" si="61"/>
        <v>토</v>
      </c>
      <c r="D796" s="3">
        <v>44905</v>
      </c>
      <c r="E796" s="7">
        <v>0</v>
      </c>
      <c r="F796" s="2">
        <v>0</v>
      </c>
      <c r="I796" s="1">
        <f>+COUNTIF(F$3:$F796,F796)</f>
        <v>215</v>
      </c>
      <c r="K796" s="132" t="str">
        <f t="shared" si="62"/>
        <v>주말</v>
      </c>
    </row>
    <row r="797" spans="1:11" ht="21.75" customHeight="1" x14ac:dyDescent="0.25">
      <c r="A797" s="2">
        <f t="shared" si="59"/>
        <v>2022</v>
      </c>
      <c r="B797" s="2">
        <f t="shared" si="60"/>
        <v>12</v>
      </c>
      <c r="C797" s="2" t="str">
        <f t="shared" si="61"/>
        <v>일</v>
      </c>
      <c r="D797" s="3">
        <v>44906</v>
      </c>
      <c r="E797" s="7">
        <v>0</v>
      </c>
      <c r="F797" s="2">
        <v>0</v>
      </c>
      <c r="I797" s="1">
        <f>+COUNTIF(F$3:$F797,F797)</f>
        <v>216</v>
      </c>
      <c r="K797" s="132" t="str">
        <f t="shared" si="62"/>
        <v>주말</v>
      </c>
    </row>
    <row r="798" spans="1:11" ht="21.75" customHeight="1" x14ac:dyDescent="0.25">
      <c r="A798" s="2">
        <f t="shared" si="59"/>
        <v>2022</v>
      </c>
      <c r="B798" s="2">
        <f t="shared" si="60"/>
        <v>12</v>
      </c>
      <c r="C798" s="2" t="str">
        <f t="shared" si="61"/>
        <v>월</v>
      </c>
      <c r="D798" s="3">
        <v>44907</v>
      </c>
      <c r="E798" s="7">
        <v>0</v>
      </c>
      <c r="F798" s="2">
        <v>0</v>
      </c>
      <c r="I798" s="1">
        <f>+COUNTIF(F$3:$F798,F798)</f>
        <v>217</v>
      </c>
      <c r="K798" s="132" t="str">
        <f t="shared" si="62"/>
        <v>평일</v>
      </c>
    </row>
    <row r="799" spans="1:11" ht="21.75" customHeight="1" x14ac:dyDescent="0.25">
      <c r="A799" s="2">
        <f t="shared" si="59"/>
        <v>2022</v>
      </c>
      <c r="B799" s="2">
        <f t="shared" si="60"/>
        <v>12</v>
      </c>
      <c r="C799" s="2" t="str">
        <f t="shared" si="61"/>
        <v>화</v>
      </c>
      <c r="D799" s="3">
        <v>44908</v>
      </c>
      <c r="E799" s="7">
        <v>0</v>
      </c>
      <c r="F799" s="2">
        <v>0</v>
      </c>
      <c r="I799" s="1">
        <f>+COUNTIF(F$3:$F799,F799)</f>
        <v>218</v>
      </c>
      <c r="K799" s="132" t="str">
        <f t="shared" si="62"/>
        <v>평일</v>
      </c>
    </row>
    <row r="800" spans="1:11" ht="21.75" customHeight="1" x14ac:dyDescent="0.25">
      <c r="A800" s="2">
        <f t="shared" si="59"/>
        <v>2022</v>
      </c>
      <c r="B800" s="2">
        <f t="shared" si="60"/>
        <v>12</v>
      </c>
      <c r="C800" s="2" t="str">
        <f t="shared" si="61"/>
        <v>수</v>
      </c>
      <c r="D800" s="3">
        <v>44909</v>
      </c>
      <c r="E800" s="7">
        <v>0</v>
      </c>
      <c r="F800" s="2">
        <v>0</v>
      </c>
      <c r="I800" s="1">
        <f>+COUNTIF(F$3:$F800,F800)</f>
        <v>219</v>
      </c>
      <c r="K800" s="132" t="str">
        <f t="shared" si="62"/>
        <v>평일</v>
      </c>
    </row>
    <row r="801" spans="1:11" ht="21.75" customHeight="1" x14ac:dyDescent="0.25">
      <c r="A801" s="2">
        <f t="shared" si="59"/>
        <v>2022</v>
      </c>
      <c r="B801" s="2">
        <f t="shared" si="60"/>
        <v>12</v>
      </c>
      <c r="C801" s="2" t="str">
        <f t="shared" si="61"/>
        <v>목</v>
      </c>
      <c r="D801" s="3">
        <v>44910</v>
      </c>
      <c r="E801" s="7">
        <v>0</v>
      </c>
      <c r="F801" s="2">
        <v>0</v>
      </c>
      <c r="I801" s="1">
        <f>+COUNTIF(F$3:$F801,F801)</f>
        <v>220</v>
      </c>
      <c r="K801" s="132" t="str">
        <f t="shared" si="62"/>
        <v>평일</v>
      </c>
    </row>
    <row r="802" spans="1:11" ht="21.75" customHeight="1" x14ac:dyDescent="0.25">
      <c r="A802" s="2">
        <f t="shared" si="59"/>
        <v>2022</v>
      </c>
      <c r="B802" s="2">
        <f t="shared" si="60"/>
        <v>12</v>
      </c>
      <c r="C802" s="2" t="str">
        <f t="shared" si="61"/>
        <v>금</v>
      </c>
      <c r="D802" s="3">
        <v>44911</v>
      </c>
      <c r="E802" s="7">
        <v>0</v>
      </c>
      <c r="F802" s="2">
        <v>0</v>
      </c>
      <c r="I802" s="1">
        <f>+COUNTIF(F$3:$F802,F802)</f>
        <v>221</v>
      </c>
      <c r="K802" s="132" t="str">
        <f t="shared" si="62"/>
        <v>평일</v>
      </c>
    </row>
    <row r="803" spans="1:11" ht="21.75" customHeight="1" x14ac:dyDescent="0.25">
      <c r="A803" s="2">
        <f t="shared" si="59"/>
        <v>2022</v>
      </c>
      <c r="B803" s="2">
        <f t="shared" si="60"/>
        <v>12</v>
      </c>
      <c r="C803" s="2" t="str">
        <f t="shared" si="61"/>
        <v>토</v>
      </c>
      <c r="D803" s="3">
        <v>44912</v>
      </c>
      <c r="E803" s="7">
        <v>0</v>
      </c>
      <c r="F803" s="2">
        <v>0</v>
      </c>
      <c r="I803" s="1">
        <f>+COUNTIF(F$3:$F803,F803)</f>
        <v>222</v>
      </c>
      <c r="K803" s="132" t="str">
        <f t="shared" si="62"/>
        <v>주말</v>
      </c>
    </row>
    <row r="804" spans="1:11" ht="21.75" customHeight="1" x14ac:dyDescent="0.25">
      <c r="A804" s="2">
        <f t="shared" si="59"/>
        <v>2022</v>
      </c>
      <c r="B804" s="2">
        <f t="shared" si="60"/>
        <v>12</v>
      </c>
      <c r="C804" s="2" t="str">
        <f t="shared" si="61"/>
        <v>일</v>
      </c>
      <c r="D804" s="3">
        <v>44913</v>
      </c>
      <c r="E804" s="7">
        <v>0</v>
      </c>
      <c r="F804" s="2">
        <v>0</v>
      </c>
      <c r="I804" s="1">
        <f>+COUNTIF(F$3:$F804,F804)</f>
        <v>223</v>
      </c>
      <c r="K804" s="132" t="str">
        <f t="shared" si="62"/>
        <v>주말</v>
      </c>
    </row>
    <row r="805" spans="1:11" ht="21.75" customHeight="1" x14ac:dyDescent="0.25">
      <c r="A805" s="2">
        <f t="shared" si="59"/>
        <v>2022</v>
      </c>
      <c r="B805" s="2">
        <f t="shared" si="60"/>
        <v>12</v>
      </c>
      <c r="C805" s="2" t="str">
        <f t="shared" si="61"/>
        <v>월</v>
      </c>
      <c r="D805" s="3">
        <v>44914</v>
      </c>
      <c r="E805" s="7">
        <v>0</v>
      </c>
      <c r="F805" s="2">
        <v>0</v>
      </c>
      <c r="I805" s="1">
        <f>+COUNTIF(F$3:$F805,F805)</f>
        <v>224</v>
      </c>
      <c r="K805" s="132" t="str">
        <f t="shared" si="62"/>
        <v>평일</v>
      </c>
    </row>
    <row r="806" spans="1:11" ht="21.75" customHeight="1" x14ac:dyDescent="0.25">
      <c r="A806" s="2">
        <f t="shared" si="59"/>
        <v>2022</v>
      </c>
      <c r="B806" s="2">
        <f t="shared" si="60"/>
        <v>12</v>
      </c>
      <c r="C806" s="2" t="str">
        <f t="shared" si="61"/>
        <v>화</v>
      </c>
      <c r="D806" s="3">
        <v>44915</v>
      </c>
      <c r="E806" s="7">
        <v>0</v>
      </c>
      <c r="F806" s="2">
        <v>0</v>
      </c>
      <c r="I806" s="1">
        <f>+COUNTIF(F$3:$F806,F806)</f>
        <v>225</v>
      </c>
      <c r="K806" s="132" t="str">
        <f t="shared" si="62"/>
        <v>평일</v>
      </c>
    </row>
    <row r="807" spans="1:11" ht="21.75" customHeight="1" x14ac:dyDescent="0.25">
      <c r="A807" s="2">
        <f t="shared" si="59"/>
        <v>2022</v>
      </c>
      <c r="B807" s="2">
        <f t="shared" si="60"/>
        <v>12</v>
      </c>
      <c r="C807" s="2" t="str">
        <f t="shared" si="61"/>
        <v>수</v>
      </c>
      <c r="D807" s="3">
        <v>44916</v>
      </c>
      <c r="E807" s="7">
        <v>0</v>
      </c>
      <c r="F807" s="2">
        <v>0</v>
      </c>
      <c r="I807" s="1">
        <f>+COUNTIF(F$3:$F807,F807)</f>
        <v>226</v>
      </c>
      <c r="K807" s="132" t="str">
        <f t="shared" si="62"/>
        <v>평일</v>
      </c>
    </row>
    <row r="808" spans="1:11" ht="21.75" customHeight="1" x14ac:dyDescent="0.25">
      <c r="A808" s="2">
        <f t="shared" si="59"/>
        <v>2022</v>
      </c>
      <c r="B808" s="2">
        <f t="shared" si="60"/>
        <v>12</v>
      </c>
      <c r="C808" s="2" t="str">
        <f t="shared" si="61"/>
        <v>목</v>
      </c>
      <c r="D808" s="3">
        <v>44917</v>
      </c>
      <c r="E808" s="7">
        <v>0</v>
      </c>
      <c r="F808" s="2">
        <v>0</v>
      </c>
      <c r="I808" s="1">
        <f>+COUNTIF(F$3:$F808,F808)</f>
        <v>227</v>
      </c>
      <c r="K808" s="132" t="str">
        <f t="shared" si="62"/>
        <v>평일</v>
      </c>
    </row>
    <row r="809" spans="1:11" ht="21.75" customHeight="1" x14ac:dyDescent="0.25">
      <c r="A809" s="2">
        <f t="shared" si="59"/>
        <v>2022</v>
      </c>
      <c r="B809" s="2">
        <f t="shared" si="60"/>
        <v>12</v>
      </c>
      <c r="C809" s="2" t="str">
        <f t="shared" si="61"/>
        <v>금</v>
      </c>
      <c r="D809" s="3">
        <v>44918</v>
      </c>
      <c r="E809" s="7">
        <v>0</v>
      </c>
      <c r="F809" s="2">
        <v>0</v>
      </c>
      <c r="I809" s="1">
        <f>+COUNTIF(F$3:$F809,F809)</f>
        <v>228</v>
      </c>
      <c r="K809" s="132" t="str">
        <f t="shared" si="62"/>
        <v>평일</v>
      </c>
    </row>
    <row r="810" spans="1:11" ht="21.75" customHeight="1" x14ac:dyDescent="0.25">
      <c r="A810" s="2">
        <f t="shared" si="59"/>
        <v>2022</v>
      </c>
      <c r="B810" s="2">
        <f t="shared" si="60"/>
        <v>12</v>
      </c>
      <c r="C810" s="2" t="str">
        <f t="shared" si="61"/>
        <v>토</v>
      </c>
      <c r="D810" s="3">
        <v>44919</v>
      </c>
      <c r="E810" s="7">
        <v>1532</v>
      </c>
      <c r="F810" s="2" t="s">
        <v>12</v>
      </c>
      <c r="G810" s="1">
        <v>18</v>
      </c>
      <c r="H810" s="6">
        <f>+E810-G810</f>
        <v>1514</v>
      </c>
      <c r="I810" s="1">
        <f>+COUNTIF(F$3:$F810,F810)</f>
        <v>1</v>
      </c>
      <c r="K810" s="132" t="str">
        <f t="shared" si="62"/>
        <v>주말</v>
      </c>
    </row>
    <row r="811" spans="1:11" ht="21.75" customHeight="1" x14ac:dyDescent="0.25">
      <c r="A811" s="2">
        <f t="shared" si="59"/>
        <v>2022</v>
      </c>
      <c r="B811" s="2">
        <f t="shared" si="60"/>
        <v>12</v>
      </c>
      <c r="C811" s="2" t="str">
        <f t="shared" si="61"/>
        <v>일</v>
      </c>
      <c r="D811" s="3">
        <v>44920</v>
      </c>
      <c r="E811" s="7">
        <v>1116</v>
      </c>
      <c r="F811" s="2" t="s">
        <v>12</v>
      </c>
      <c r="G811" s="1">
        <v>26</v>
      </c>
      <c r="H811" s="6">
        <f t="shared" ref="H811:H874" si="63">+E811-G811</f>
        <v>1090</v>
      </c>
      <c r="I811" s="1">
        <f>+COUNTIF(F$3:$F811,F811)</f>
        <v>2</v>
      </c>
      <c r="K811" s="132" t="str">
        <f t="shared" si="62"/>
        <v>주말</v>
      </c>
    </row>
    <row r="812" spans="1:11" ht="21.75" customHeight="1" x14ac:dyDescent="0.25">
      <c r="A812" s="2">
        <f t="shared" si="59"/>
        <v>2022</v>
      </c>
      <c r="B812" s="2">
        <f t="shared" si="60"/>
        <v>12</v>
      </c>
      <c r="C812" s="2" t="str">
        <f t="shared" si="61"/>
        <v>월</v>
      </c>
      <c r="D812" s="3">
        <v>44921</v>
      </c>
      <c r="E812" s="7">
        <v>632</v>
      </c>
      <c r="F812" s="2" t="s">
        <v>12</v>
      </c>
      <c r="G812" s="1">
        <v>19</v>
      </c>
      <c r="H812" s="6">
        <f t="shared" si="63"/>
        <v>613</v>
      </c>
      <c r="I812" s="1">
        <f>+COUNTIF(F$3:$F812,F812)</f>
        <v>3</v>
      </c>
      <c r="K812" s="132" t="str">
        <f t="shared" si="62"/>
        <v>평일</v>
      </c>
    </row>
    <row r="813" spans="1:11" ht="21.75" customHeight="1" x14ac:dyDescent="0.25">
      <c r="A813" s="2">
        <f t="shared" si="59"/>
        <v>2022</v>
      </c>
      <c r="B813" s="2">
        <f t="shared" si="60"/>
        <v>12</v>
      </c>
      <c r="C813" s="2" t="str">
        <f t="shared" si="61"/>
        <v>화</v>
      </c>
      <c r="D813" s="3">
        <v>44922</v>
      </c>
      <c r="E813" s="7">
        <v>575</v>
      </c>
      <c r="F813" s="2" t="s">
        <v>12</v>
      </c>
      <c r="G813" s="1">
        <v>24</v>
      </c>
      <c r="H813" s="6">
        <f t="shared" si="63"/>
        <v>551</v>
      </c>
      <c r="I813" s="1">
        <f>+COUNTIF(F$3:$F813,F813)</f>
        <v>4</v>
      </c>
      <c r="K813" s="132" t="str">
        <f t="shared" si="62"/>
        <v>평일</v>
      </c>
    </row>
    <row r="814" spans="1:11" ht="21.75" customHeight="1" x14ac:dyDescent="0.25">
      <c r="A814" s="2">
        <f t="shared" si="59"/>
        <v>2022</v>
      </c>
      <c r="B814" s="2">
        <f t="shared" si="60"/>
        <v>12</v>
      </c>
      <c r="C814" s="2" t="str">
        <f t="shared" si="61"/>
        <v>수</v>
      </c>
      <c r="D814" s="3">
        <v>44923</v>
      </c>
      <c r="E814" s="7">
        <v>573</v>
      </c>
      <c r="F814" s="2" t="s">
        <v>12</v>
      </c>
      <c r="G814" s="1">
        <v>17</v>
      </c>
      <c r="H814" s="6">
        <f t="shared" si="63"/>
        <v>556</v>
      </c>
      <c r="I814" s="1">
        <f>+COUNTIF(F$3:$F814,F814)</f>
        <v>5</v>
      </c>
      <c r="K814" s="132" t="str">
        <f t="shared" si="62"/>
        <v>평일</v>
      </c>
    </row>
    <row r="815" spans="1:11" ht="21.75" customHeight="1" x14ac:dyDescent="0.25">
      <c r="A815" s="2">
        <f t="shared" si="59"/>
        <v>2022</v>
      </c>
      <c r="B815" s="2">
        <f t="shared" si="60"/>
        <v>12</v>
      </c>
      <c r="C815" s="2" t="str">
        <f t="shared" si="61"/>
        <v>목</v>
      </c>
      <c r="D815" s="3">
        <v>44924</v>
      </c>
      <c r="E815" s="7">
        <v>610</v>
      </c>
      <c r="F815" s="2" t="s">
        <v>12</v>
      </c>
      <c r="G815" s="1">
        <v>31</v>
      </c>
      <c r="H815" s="6">
        <f t="shared" si="63"/>
        <v>579</v>
      </c>
      <c r="I815" s="1">
        <f>+COUNTIF(F$3:$F815,F815)</f>
        <v>6</v>
      </c>
      <c r="K815" s="132" t="str">
        <f t="shared" si="62"/>
        <v>평일</v>
      </c>
    </row>
    <row r="816" spans="1:11" ht="21.75" customHeight="1" x14ac:dyDescent="0.25">
      <c r="A816" s="2">
        <f t="shared" si="59"/>
        <v>2022</v>
      </c>
      <c r="B816" s="2">
        <f t="shared" si="60"/>
        <v>12</v>
      </c>
      <c r="C816" s="2" t="str">
        <f t="shared" si="61"/>
        <v>금</v>
      </c>
      <c r="D816" s="3">
        <v>44925</v>
      </c>
      <c r="E816" s="7">
        <v>747</v>
      </c>
      <c r="F816" s="2" t="s">
        <v>12</v>
      </c>
      <c r="G816" s="1">
        <v>20</v>
      </c>
      <c r="H816" s="6">
        <f t="shared" si="63"/>
        <v>727</v>
      </c>
      <c r="I816" s="1">
        <f>+COUNTIF(F$3:$F816,F816)</f>
        <v>7</v>
      </c>
      <c r="K816" s="132" t="str">
        <f t="shared" si="62"/>
        <v>평일</v>
      </c>
    </row>
    <row r="817" spans="1:11" ht="21.75" customHeight="1" x14ac:dyDescent="0.25">
      <c r="A817" s="2">
        <f t="shared" si="59"/>
        <v>2022</v>
      </c>
      <c r="B817" s="2">
        <f t="shared" si="60"/>
        <v>12</v>
      </c>
      <c r="C817" s="2" t="str">
        <f t="shared" si="61"/>
        <v>토</v>
      </c>
      <c r="D817" s="3">
        <v>44926</v>
      </c>
      <c r="E817" s="7">
        <v>787</v>
      </c>
      <c r="F817" s="2" t="s">
        <v>12</v>
      </c>
      <c r="G817" s="1">
        <v>34</v>
      </c>
      <c r="H817" s="6">
        <f t="shared" si="63"/>
        <v>753</v>
      </c>
      <c r="I817" s="1">
        <f>+COUNTIF(F$3:$F817,F817)</f>
        <v>8</v>
      </c>
      <c r="K817" s="132" t="str">
        <f t="shared" si="62"/>
        <v>주말</v>
      </c>
    </row>
    <row r="818" spans="1:11" ht="21.75" customHeight="1" x14ac:dyDescent="0.25">
      <c r="A818" s="2">
        <f t="shared" si="59"/>
        <v>2023</v>
      </c>
      <c r="B818" s="2">
        <f t="shared" si="60"/>
        <v>1</v>
      </c>
      <c r="C818" s="2" t="str">
        <f t="shared" si="61"/>
        <v>일</v>
      </c>
      <c r="D818" s="3">
        <v>44927</v>
      </c>
      <c r="E818" s="7">
        <v>0</v>
      </c>
      <c r="F818" s="2" t="s">
        <v>12</v>
      </c>
      <c r="G818" s="1">
        <v>0</v>
      </c>
      <c r="H818" s="6">
        <f t="shared" si="63"/>
        <v>0</v>
      </c>
      <c r="I818" s="1">
        <f>+COUNTIF(F$3:$F818,F818)</f>
        <v>9</v>
      </c>
      <c r="K818" s="132" t="str">
        <f t="shared" si="62"/>
        <v>주말</v>
      </c>
    </row>
    <row r="819" spans="1:11" ht="21.75" customHeight="1" x14ac:dyDescent="0.25">
      <c r="A819" s="2">
        <f t="shared" si="59"/>
        <v>2023</v>
      </c>
      <c r="B819" s="2">
        <f t="shared" si="60"/>
        <v>1</v>
      </c>
      <c r="C819" s="2" t="str">
        <f t="shared" si="61"/>
        <v>월</v>
      </c>
      <c r="D819" s="3">
        <v>44928</v>
      </c>
      <c r="E819" s="7">
        <v>349</v>
      </c>
      <c r="F819" s="2" t="s">
        <v>12</v>
      </c>
      <c r="G819" s="1">
        <v>7</v>
      </c>
      <c r="H819" s="6">
        <f t="shared" si="63"/>
        <v>342</v>
      </c>
      <c r="I819" s="1">
        <f>+COUNTIF(F$3:$F819,F819)</f>
        <v>10</v>
      </c>
      <c r="K819" s="132" t="str">
        <f t="shared" si="62"/>
        <v>평일</v>
      </c>
    </row>
    <row r="820" spans="1:11" ht="21.75" customHeight="1" x14ac:dyDescent="0.25">
      <c r="A820" s="2">
        <f t="shared" si="59"/>
        <v>2023</v>
      </c>
      <c r="B820" s="2">
        <f t="shared" si="60"/>
        <v>1</v>
      </c>
      <c r="C820" s="2" t="str">
        <f t="shared" si="61"/>
        <v>화</v>
      </c>
      <c r="D820" s="3">
        <v>44929</v>
      </c>
      <c r="E820" s="7">
        <v>367</v>
      </c>
      <c r="F820" s="2" t="s">
        <v>12</v>
      </c>
      <c r="G820" s="1">
        <v>15</v>
      </c>
      <c r="H820" s="6">
        <f t="shared" si="63"/>
        <v>352</v>
      </c>
      <c r="I820" s="1">
        <f>+COUNTIF(F$3:$F820,F820)</f>
        <v>11</v>
      </c>
      <c r="K820" s="132" t="str">
        <f t="shared" si="62"/>
        <v>평일</v>
      </c>
    </row>
    <row r="821" spans="1:11" ht="21.75" customHeight="1" x14ac:dyDescent="0.25">
      <c r="A821" s="2">
        <f t="shared" si="59"/>
        <v>2023</v>
      </c>
      <c r="B821" s="2">
        <f t="shared" si="60"/>
        <v>1</v>
      </c>
      <c r="C821" s="2" t="str">
        <f t="shared" si="61"/>
        <v>수</v>
      </c>
      <c r="D821" s="3">
        <v>44930</v>
      </c>
      <c r="E821" s="7">
        <v>302</v>
      </c>
      <c r="F821" s="2" t="s">
        <v>12</v>
      </c>
      <c r="G821" s="1">
        <v>16</v>
      </c>
      <c r="H821" s="6">
        <f t="shared" si="63"/>
        <v>286</v>
      </c>
      <c r="I821" s="1">
        <f>+COUNTIF(F$3:$F821,F821)</f>
        <v>12</v>
      </c>
      <c r="K821" s="132" t="str">
        <f t="shared" si="62"/>
        <v>평일</v>
      </c>
    </row>
    <row r="822" spans="1:11" ht="21.75" customHeight="1" x14ac:dyDescent="0.25">
      <c r="A822" s="2">
        <f t="shared" si="59"/>
        <v>2023</v>
      </c>
      <c r="B822" s="2">
        <f t="shared" si="60"/>
        <v>1</v>
      </c>
      <c r="C822" s="2" t="str">
        <f t="shared" si="61"/>
        <v>목</v>
      </c>
      <c r="D822" s="3">
        <v>44931</v>
      </c>
      <c r="E822" s="7">
        <v>339</v>
      </c>
      <c r="F822" s="2" t="s">
        <v>12</v>
      </c>
      <c r="G822" s="1">
        <v>18</v>
      </c>
      <c r="H822" s="6">
        <f t="shared" si="63"/>
        <v>321</v>
      </c>
      <c r="I822" s="1">
        <f>+COUNTIF(F$3:$F822,F822)</f>
        <v>13</v>
      </c>
      <c r="K822" s="132" t="str">
        <f t="shared" si="62"/>
        <v>평일</v>
      </c>
    </row>
    <row r="823" spans="1:11" ht="21.75" customHeight="1" x14ac:dyDescent="0.25">
      <c r="A823" s="2">
        <f t="shared" si="59"/>
        <v>2023</v>
      </c>
      <c r="B823" s="2">
        <f t="shared" si="60"/>
        <v>1</v>
      </c>
      <c r="C823" s="2" t="str">
        <f t="shared" si="61"/>
        <v>금</v>
      </c>
      <c r="D823" s="3">
        <v>44932</v>
      </c>
      <c r="E823" s="7">
        <v>415</v>
      </c>
      <c r="F823" s="2" t="s">
        <v>12</v>
      </c>
      <c r="G823" s="1">
        <v>35</v>
      </c>
      <c r="H823" s="6">
        <f t="shared" si="63"/>
        <v>380</v>
      </c>
      <c r="I823" s="1">
        <f>+COUNTIF(F$3:$F823,F823)</f>
        <v>14</v>
      </c>
      <c r="K823" s="132" t="str">
        <f t="shared" si="62"/>
        <v>평일</v>
      </c>
    </row>
    <row r="824" spans="1:11" ht="21.75" customHeight="1" x14ac:dyDescent="0.25">
      <c r="A824" s="2">
        <f t="shared" si="59"/>
        <v>2023</v>
      </c>
      <c r="B824" s="2">
        <f t="shared" si="60"/>
        <v>1</v>
      </c>
      <c r="C824" s="2" t="str">
        <f t="shared" si="61"/>
        <v>토</v>
      </c>
      <c r="D824" s="3">
        <v>44933</v>
      </c>
      <c r="E824" s="7">
        <v>1098</v>
      </c>
      <c r="F824" s="2" t="s">
        <v>12</v>
      </c>
      <c r="G824" s="1">
        <v>52</v>
      </c>
      <c r="H824" s="6">
        <f t="shared" si="63"/>
        <v>1046</v>
      </c>
      <c r="I824" s="1">
        <f>+COUNTIF(F$3:$F824,F824)</f>
        <v>15</v>
      </c>
      <c r="K824" s="132" t="str">
        <f t="shared" si="62"/>
        <v>주말</v>
      </c>
    </row>
    <row r="825" spans="1:11" ht="21.75" customHeight="1" x14ac:dyDescent="0.25">
      <c r="A825" s="2">
        <f t="shared" si="59"/>
        <v>2023</v>
      </c>
      <c r="B825" s="2">
        <f t="shared" si="60"/>
        <v>1</v>
      </c>
      <c r="C825" s="2" t="str">
        <f t="shared" si="61"/>
        <v>일</v>
      </c>
      <c r="D825" s="3">
        <v>44934</v>
      </c>
      <c r="E825" s="7">
        <v>959</v>
      </c>
      <c r="F825" s="2" t="s">
        <v>12</v>
      </c>
      <c r="G825" s="1">
        <v>33</v>
      </c>
      <c r="H825" s="6">
        <f t="shared" si="63"/>
        <v>926</v>
      </c>
      <c r="I825" s="1">
        <f>+COUNTIF(F$3:$F825,F825)</f>
        <v>16</v>
      </c>
      <c r="K825" s="132" t="str">
        <f t="shared" si="62"/>
        <v>주말</v>
      </c>
    </row>
    <row r="826" spans="1:11" ht="21.75" customHeight="1" x14ac:dyDescent="0.25">
      <c r="A826" s="2">
        <f t="shared" si="59"/>
        <v>2023</v>
      </c>
      <c r="B826" s="2">
        <f t="shared" si="60"/>
        <v>1</v>
      </c>
      <c r="C826" s="2" t="str">
        <f t="shared" si="61"/>
        <v>월</v>
      </c>
      <c r="D826" s="3">
        <v>44935</v>
      </c>
      <c r="E826" s="7">
        <v>395</v>
      </c>
      <c r="F826" s="2" t="s">
        <v>12</v>
      </c>
      <c r="G826" s="1">
        <v>24</v>
      </c>
      <c r="H826" s="6">
        <f t="shared" si="63"/>
        <v>371</v>
      </c>
      <c r="I826" s="1">
        <f>+COUNTIF(F$3:$F826,F826)</f>
        <v>17</v>
      </c>
      <c r="K826" s="132" t="str">
        <f t="shared" si="62"/>
        <v>평일</v>
      </c>
    </row>
    <row r="827" spans="1:11" ht="21.75" customHeight="1" x14ac:dyDescent="0.25">
      <c r="A827" s="2">
        <f t="shared" si="59"/>
        <v>2023</v>
      </c>
      <c r="B827" s="2">
        <f t="shared" si="60"/>
        <v>1</v>
      </c>
      <c r="C827" s="2" t="str">
        <f t="shared" si="61"/>
        <v>화</v>
      </c>
      <c r="D827" s="3">
        <v>44936</v>
      </c>
      <c r="E827" s="7">
        <v>350</v>
      </c>
      <c r="F827" s="2" t="s">
        <v>12</v>
      </c>
      <c r="G827" s="1">
        <v>14</v>
      </c>
      <c r="H827" s="6">
        <f t="shared" si="63"/>
        <v>336</v>
      </c>
      <c r="I827" s="1">
        <f>+COUNTIF(F$3:$F827,F827)</f>
        <v>18</v>
      </c>
      <c r="K827" s="132" t="str">
        <f t="shared" si="62"/>
        <v>평일</v>
      </c>
    </row>
    <row r="828" spans="1:11" ht="21.75" customHeight="1" x14ac:dyDescent="0.25">
      <c r="A828" s="2">
        <f t="shared" si="59"/>
        <v>2023</v>
      </c>
      <c r="B828" s="2">
        <f t="shared" si="60"/>
        <v>1</v>
      </c>
      <c r="C828" s="2" t="str">
        <f t="shared" si="61"/>
        <v>수</v>
      </c>
      <c r="D828" s="3">
        <v>44937</v>
      </c>
      <c r="E828" s="7">
        <v>424</v>
      </c>
      <c r="F828" s="2" t="s">
        <v>12</v>
      </c>
      <c r="G828" s="1">
        <v>20</v>
      </c>
      <c r="H828" s="6">
        <f t="shared" si="63"/>
        <v>404</v>
      </c>
      <c r="I828" s="1">
        <f>+COUNTIF(F$3:$F828,F828)</f>
        <v>19</v>
      </c>
      <c r="K828" s="132" t="str">
        <f t="shared" si="62"/>
        <v>평일</v>
      </c>
    </row>
    <row r="829" spans="1:11" ht="21.75" customHeight="1" x14ac:dyDescent="0.25">
      <c r="A829" s="2">
        <f t="shared" si="59"/>
        <v>2023</v>
      </c>
      <c r="B829" s="2">
        <f t="shared" si="60"/>
        <v>1</v>
      </c>
      <c r="C829" s="2" t="str">
        <f t="shared" si="61"/>
        <v>목</v>
      </c>
      <c r="D829" s="3">
        <v>44938</v>
      </c>
      <c r="E829" s="7">
        <v>407</v>
      </c>
      <c r="F829" s="2" t="s">
        <v>12</v>
      </c>
      <c r="G829" s="1">
        <v>47</v>
      </c>
      <c r="H829" s="6">
        <f t="shared" si="63"/>
        <v>360</v>
      </c>
      <c r="I829" s="1">
        <f>+COUNTIF(F$3:$F829,F829)</f>
        <v>20</v>
      </c>
      <c r="K829" s="132" t="str">
        <f t="shared" si="62"/>
        <v>평일</v>
      </c>
    </row>
    <row r="830" spans="1:11" ht="21.75" customHeight="1" x14ac:dyDescent="0.25">
      <c r="A830" s="2">
        <f t="shared" si="59"/>
        <v>2023</v>
      </c>
      <c r="B830" s="2">
        <f t="shared" si="60"/>
        <v>1</v>
      </c>
      <c r="C830" s="2" t="str">
        <f t="shared" si="61"/>
        <v>금</v>
      </c>
      <c r="D830" s="3">
        <v>44939</v>
      </c>
      <c r="E830" s="7">
        <v>462</v>
      </c>
      <c r="F830" s="2" t="s">
        <v>12</v>
      </c>
      <c r="G830" s="1">
        <v>51</v>
      </c>
      <c r="H830" s="6">
        <f t="shared" si="63"/>
        <v>411</v>
      </c>
      <c r="I830" s="1">
        <f>+COUNTIF(F$3:$F830,F830)</f>
        <v>21</v>
      </c>
      <c r="K830" s="132" t="str">
        <f t="shared" si="62"/>
        <v>평일</v>
      </c>
    </row>
    <row r="831" spans="1:11" ht="21.75" customHeight="1" x14ac:dyDescent="0.25">
      <c r="A831" s="2">
        <f t="shared" si="59"/>
        <v>2023</v>
      </c>
      <c r="B831" s="2">
        <f t="shared" si="60"/>
        <v>1</v>
      </c>
      <c r="C831" s="2" t="str">
        <f t="shared" si="61"/>
        <v>토</v>
      </c>
      <c r="D831" s="3">
        <v>44940</v>
      </c>
      <c r="E831" s="7">
        <v>1337</v>
      </c>
      <c r="F831" s="2" t="s">
        <v>12</v>
      </c>
      <c r="G831" s="1">
        <v>75</v>
      </c>
      <c r="H831" s="6">
        <f t="shared" si="63"/>
        <v>1262</v>
      </c>
      <c r="I831" s="1">
        <f>+COUNTIF(F$3:$F831,F831)</f>
        <v>22</v>
      </c>
      <c r="K831" s="132" t="str">
        <f t="shared" si="62"/>
        <v>주말</v>
      </c>
    </row>
    <row r="832" spans="1:11" ht="21.75" customHeight="1" x14ac:dyDescent="0.25">
      <c r="A832" s="2">
        <f t="shared" si="59"/>
        <v>2023</v>
      </c>
      <c r="B832" s="2">
        <f t="shared" si="60"/>
        <v>1</v>
      </c>
      <c r="C832" s="2" t="str">
        <f t="shared" si="61"/>
        <v>일</v>
      </c>
      <c r="D832" s="3">
        <v>44941</v>
      </c>
      <c r="E832" s="7">
        <v>928</v>
      </c>
      <c r="F832" s="2" t="s">
        <v>12</v>
      </c>
      <c r="G832" s="1">
        <v>29</v>
      </c>
      <c r="H832" s="6">
        <f t="shared" si="63"/>
        <v>899</v>
      </c>
      <c r="I832" s="1">
        <f>+COUNTIF(F$3:$F832,F832)</f>
        <v>23</v>
      </c>
      <c r="K832" s="132" t="str">
        <f t="shared" si="62"/>
        <v>주말</v>
      </c>
    </row>
    <row r="833" spans="1:11" ht="21.75" customHeight="1" x14ac:dyDescent="0.25">
      <c r="A833" s="2">
        <f t="shared" si="59"/>
        <v>2023</v>
      </c>
      <c r="B833" s="2">
        <f t="shared" si="60"/>
        <v>1</v>
      </c>
      <c r="C833" s="2" t="str">
        <f t="shared" si="61"/>
        <v>월</v>
      </c>
      <c r="D833" s="3">
        <v>44942</v>
      </c>
      <c r="E833" s="7">
        <v>420</v>
      </c>
      <c r="F833" s="2" t="s">
        <v>12</v>
      </c>
      <c r="G833" s="1">
        <v>19</v>
      </c>
      <c r="H833" s="6">
        <f t="shared" si="63"/>
        <v>401</v>
      </c>
      <c r="I833" s="1">
        <f>+COUNTIF(F$3:$F833,F833)</f>
        <v>24</v>
      </c>
      <c r="K833" s="132" t="str">
        <f t="shared" si="62"/>
        <v>평일</v>
      </c>
    </row>
    <row r="834" spans="1:11" ht="21.75" customHeight="1" x14ac:dyDescent="0.25">
      <c r="A834" s="2">
        <f t="shared" si="59"/>
        <v>2023</v>
      </c>
      <c r="B834" s="2">
        <f t="shared" si="60"/>
        <v>1</v>
      </c>
      <c r="C834" s="2" t="str">
        <f t="shared" si="61"/>
        <v>화</v>
      </c>
      <c r="D834" s="3">
        <v>44943</v>
      </c>
      <c r="E834" s="7">
        <v>382</v>
      </c>
      <c r="F834" s="2" t="s">
        <v>12</v>
      </c>
      <c r="G834" s="1">
        <v>20</v>
      </c>
      <c r="H834" s="6">
        <f t="shared" si="63"/>
        <v>362</v>
      </c>
      <c r="I834" s="1">
        <f>+COUNTIF(F$3:$F834,F834)</f>
        <v>25</v>
      </c>
      <c r="K834" s="132" t="str">
        <f t="shared" si="62"/>
        <v>평일</v>
      </c>
    </row>
    <row r="835" spans="1:11" ht="21.75" customHeight="1" x14ac:dyDescent="0.25">
      <c r="A835" s="2">
        <f t="shared" si="59"/>
        <v>2023</v>
      </c>
      <c r="B835" s="2">
        <f t="shared" si="60"/>
        <v>1</v>
      </c>
      <c r="C835" s="2" t="str">
        <f t="shared" si="61"/>
        <v>수</v>
      </c>
      <c r="D835" s="3">
        <v>44944</v>
      </c>
      <c r="E835" s="7">
        <v>365</v>
      </c>
      <c r="F835" s="2" t="s">
        <v>12</v>
      </c>
      <c r="G835" s="1">
        <v>33</v>
      </c>
      <c r="H835" s="6">
        <f t="shared" si="63"/>
        <v>332</v>
      </c>
      <c r="I835" s="1">
        <f>+COUNTIF(F$3:$F835,F835)</f>
        <v>26</v>
      </c>
      <c r="K835" s="132" t="str">
        <f t="shared" si="62"/>
        <v>평일</v>
      </c>
    </row>
    <row r="836" spans="1:11" ht="21.75" customHeight="1" x14ac:dyDescent="0.25">
      <c r="A836" s="2">
        <f t="shared" ref="A836:A899" si="64">+YEAR(D836)</f>
        <v>2023</v>
      </c>
      <c r="B836" s="2">
        <f t="shared" ref="B836:B899" si="65">+MONTH(D836)</f>
        <v>1</v>
      </c>
      <c r="C836" s="2" t="str">
        <f t="shared" ref="C836:C899" si="66">+TEXT(D836,"aaa")</f>
        <v>목</v>
      </c>
      <c r="D836" s="3">
        <v>44945</v>
      </c>
      <c r="E836" s="7">
        <v>319</v>
      </c>
      <c r="F836" s="2" t="s">
        <v>12</v>
      </c>
      <c r="G836" s="1">
        <v>7</v>
      </c>
      <c r="H836" s="6">
        <f t="shared" si="63"/>
        <v>312</v>
      </c>
      <c r="I836" s="1">
        <f>+COUNTIF(F$3:$F836,F836)</f>
        <v>27</v>
      </c>
      <c r="K836" s="132" t="str">
        <f t="shared" ref="K836:K899" si="67">+IF(OR(C836="토",C836="일"),"주말","평일")</f>
        <v>평일</v>
      </c>
    </row>
    <row r="837" spans="1:11" ht="21.75" customHeight="1" x14ac:dyDescent="0.25">
      <c r="A837" s="2">
        <f t="shared" si="64"/>
        <v>2023</v>
      </c>
      <c r="B837" s="2">
        <f t="shared" si="65"/>
        <v>1</v>
      </c>
      <c r="C837" s="2" t="str">
        <f t="shared" si="66"/>
        <v>금</v>
      </c>
      <c r="D837" s="3">
        <v>44946</v>
      </c>
      <c r="E837" s="7">
        <v>510</v>
      </c>
      <c r="F837" s="2" t="s">
        <v>12</v>
      </c>
      <c r="G837" s="1">
        <v>36</v>
      </c>
      <c r="H837" s="6">
        <f t="shared" si="63"/>
        <v>474</v>
      </c>
      <c r="I837" s="1">
        <f>+COUNTIF(F$3:$F837,F837)</f>
        <v>28</v>
      </c>
      <c r="K837" s="132" t="str">
        <f t="shared" si="67"/>
        <v>평일</v>
      </c>
    </row>
    <row r="838" spans="1:11" ht="21.75" customHeight="1" x14ac:dyDescent="0.25">
      <c r="A838" s="2">
        <f t="shared" si="64"/>
        <v>2023</v>
      </c>
      <c r="B838" s="2">
        <f t="shared" si="65"/>
        <v>1</v>
      </c>
      <c r="C838" s="2" t="str">
        <f t="shared" si="66"/>
        <v>토</v>
      </c>
      <c r="D838" s="3">
        <v>44947</v>
      </c>
      <c r="E838" s="7">
        <v>0</v>
      </c>
      <c r="F838" s="2" t="s">
        <v>12</v>
      </c>
      <c r="G838" s="1">
        <v>0</v>
      </c>
      <c r="H838" s="6">
        <f t="shared" si="63"/>
        <v>0</v>
      </c>
      <c r="I838" s="1">
        <f>+COUNTIF(F$3:$F838,F838)</f>
        <v>29</v>
      </c>
      <c r="K838" s="132" t="str">
        <f t="shared" si="67"/>
        <v>주말</v>
      </c>
    </row>
    <row r="839" spans="1:11" ht="21.75" customHeight="1" x14ac:dyDescent="0.25">
      <c r="A839" s="2">
        <f t="shared" si="64"/>
        <v>2023</v>
      </c>
      <c r="B839" s="2">
        <f t="shared" si="65"/>
        <v>1</v>
      </c>
      <c r="C839" s="2" t="str">
        <f t="shared" si="66"/>
        <v>일</v>
      </c>
      <c r="D839" s="3">
        <v>44948</v>
      </c>
      <c r="E839" s="7">
        <v>0</v>
      </c>
      <c r="F839" s="2" t="s">
        <v>12</v>
      </c>
      <c r="G839" s="1">
        <v>0</v>
      </c>
      <c r="H839" s="6">
        <f t="shared" si="63"/>
        <v>0</v>
      </c>
      <c r="I839" s="1">
        <f>+COUNTIF(F$3:$F839,F839)</f>
        <v>30</v>
      </c>
      <c r="K839" s="132" t="str">
        <f t="shared" si="67"/>
        <v>주말</v>
      </c>
    </row>
    <row r="840" spans="1:11" ht="21.75" customHeight="1" x14ac:dyDescent="0.25">
      <c r="A840" s="2">
        <f t="shared" si="64"/>
        <v>2023</v>
      </c>
      <c r="B840" s="2">
        <f t="shared" si="65"/>
        <v>1</v>
      </c>
      <c r="C840" s="2" t="str">
        <f t="shared" si="66"/>
        <v>월</v>
      </c>
      <c r="D840" s="3">
        <v>44949</v>
      </c>
      <c r="E840" s="7">
        <v>809</v>
      </c>
      <c r="F840" s="2" t="s">
        <v>12</v>
      </c>
      <c r="G840" s="1">
        <v>51</v>
      </c>
      <c r="H840" s="6">
        <f t="shared" si="63"/>
        <v>758</v>
      </c>
      <c r="I840" s="1">
        <f>+COUNTIF(F$3:$F840,F840)</f>
        <v>31</v>
      </c>
      <c r="K840" s="132" t="str">
        <f t="shared" si="67"/>
        <v>평일</v>
      </c>
    </row>
    <row r="841" spans="1:11" ht="21.75" customHeight="1" x14ac:dyDescent="0.25">
      <c r="A841" s="2">
        <f t="shared" si="64"/>
        <v>2023</v>
      </c>
      <c r="B841" s="2">
        <f t="shared" si="65"/>
        <v>1</v>
      </c>
      <c r="C841" s="2" t="str">
        <f t="shared" si="66"/>
        <v>화</v>
      </c>
      <c r="D841" s="3">
        <v>44950</v>
      </c>
      <c r="E841" s="7">
        <v>694</v>
      </c>
      <c r="F841" s="2" t="s">
        <v>12</v>
      </c>
      <c r="G841" s="1">
        <v>51</v>
      </c>
      <c r="H841" s="6">
        <f t="shared" si="63"/>
        <v>643</v>
      </c>
      <c r="I841" s="1">
        <f>+COUNTIF(F$3:$F841,F841)</f>
        <v>32</v>
      </c>
      <c r="K841" s="132" t="str">
        <f t="shared" si="67"/>
        <v>평일</v>
      </c>
    </row>
    <row r="842" spans="1:11" ht="21.75" customHeight="1" x14ac:dyDescent="0.25">
      <c r="A842" s="2">
        <f t="shared" si="64"/>
        <v>2023</v>
      </c>
      <c r="B842" s="2">
        <f t="shared" si="65"/>
        <v>1</v>
      </c>
      <c r="C842" s="2" t="str">
        <f t="shared" si="66"/>
        <v>수</v>
      </c>
      <c r="D842" s="3">
        <v>44951</v>
      </c>
      <c r="E842" s="7">
        <v>424</v>
      </c>
      <c r="F842" s="2" t="s">
        <v>12</v>
      </c>
      <c r="G842" s="1">
        <v>13</v>
      </c>
      <c r="H842" s="6">
        <f t="shared" si="63"/>
        <v>411</v>
      </c>
      <c r="I842" s="1">
        <f>+COUNTIF(F$3:$F842,F842)</f>
        <v>33</v>
      </c>
      <c r="K842" s="132" t="str">
        <f t="shared" si="67"/>
        <v>평일</v>
      </c>
    </row>
    <row r="843" spans="1:11" ht="21.75" customHeight="1" x14ac:dyDescent="0.25">
      <c r="A843" s="2">
        <f t="shared" si="64"/>
        <v>2023</v>
      </c>
      <c r="B843" s="2">
        <f t="shared" si="65"/>
        <v>1</v>
      </c>
      <c r="C843" s="2" t="str">
        <f t="shared" si="66"/>
        <v>목</v>
      </c>
      <c r="D843" s="3">
        <v>44952</v>
      </c>
      <c r="E843" s="7">
        <v>406</v>
      </c>
      <c r="F843" s="2" t="s">
        <v>12</v>
      </c>
      <c r="G843" s="1">
        <v>16</v>
      </c>
      <c r="H843" s="6">
        <f t="shared" si="63"/>
        <v>390</v>
      </c>
      <c r="I843" s="1">
        <f>+COUNTIF(F$3:$F843,F843)</f>
        <v>34</v>
      </c>
      <c r="K843" s="132" t="str">
        <f t="shared" si="67"/>
        <v>평일</v>
      </c>
    </row>
    <row r="844" spans="1:11" ht="21.75" customHeight="1" x14ac:dyDescent="0.25">
      <c r="A844" s="2">
        <f t="shared" si="64"/>
        <v>2023</v>
      </c>
      <c r="B844" s="2">
        <f t="shared" si="65"/>
        <v>1</v>
      </c>
      <c r="C844" s="2" t="str">
        <f t="shared" si="66"/>
        <v>금</v>
      </c>
      <c r="D844" s="3">
        <v>44953</v>
      </c>
      <c r="E844" s="7">
        <v>592</v>
      </c>
      <c r="F844" s="2" t="s">
        <v>12</v>
      </c>
      <c r="G844" s="1">
        <v>37</v>
      </c>
      <c r="H844" s="6">
        <f t="shared" si="63"/>
        <v>555</v>
      </c>
      <c r="I844" s="1">
        <f>+COUNTIF(F$3:$F844,F844)</f>
        <v>35</v>
      </c>
      <c r="K844" s="132" t="str">
        <f t="shared" si="67"/>
        <v>평일</v>
      </c>
    </row>
    <row r="845" spans="1:11" ht="21.75" customHeight="1" x14ac:dyDescent="0.25">
      <c r="A845" s="2">
        <f t="shared" si="64"/>
        <v>2023</v>
      </c>
      <c r="B845" s="2">
        <f t="shared" si="65"/>
        <v>1</v>
      </c>
      <c r="C845" s="2" t="str">
        <f t="shared" si="66"/>
        <v>토</v>
      </c>
      <c r="D845" s="3">
        <v>44954</v>
      </c>
      <c r="E845" s="7">
        <v>1310</v>
      </c>
      <c r="F845" s="2" t="s">
        <v>12</v>
      </c>
      <c r="G845" s="1">
        <v>58</v>
      </c>
      <c r="H845" s="6">
        <f t="shared" si="63"/>
        <v>1252</v>
      </c>
      <c r="I845" s="1">
        <f>+COUNTIF(F$3:$F845,F845)</f>
        <v>36</v>
      </c>
      <c r="K845" s="132" t="str">
        <f t="shared" si="67"/>
        <v>주말</v>
      </c>
    </row>
    <row r="846" spans="1:11" ht="21.75" customHeight="1" x14ac:dyDescent="0.25">
      <c r="A846" s="2">
        <f t="shared" si="64"/>
        <v>2023</v>
      </c>
      <c r="B846" s="2">
        <f t="shared" si="65"/>
        <v>1</v>
      </c>
      <c r="C846" s="2" t="str">
        <f t="shared" si="66"/>
        <v>일</v>
      </c>
      <c r="D846" s="3">
        <v>44955</v>
      </c>
      <c r="E846" s="7">
        <v>1277</v>
      </c>
      <c r="F846" s="2" t="s">
        <v>12</v>
      </c>
      <c r="G846" s="1">
        <v>46</v>
      </c>
      <c r="H846" s="6">
        <f t="shared" si="63"/>
        <v>1231</v>
      </c>
      <c r="I846" s="1">
        <f>+COUNTIF(F$3:$F846,F846)</f>
        <v>37</v>
      </c>
      <c r="K846" s="132" t="str">
        <f t="shared" si="67"/>
        <v>주말</v>
      </c>
    </row>
    <row r="847" spans="1:11" ht="21.75" customHeight="1" x14ac:dyDescent="0.25">
      <c r="A847" s="2">
        <f t="shared" si="64"/>
        <v>2023</v>
      </c>
      <c r="B847" s="2">
        <f t="shared" si="65"/>
        <v>1</v>
      </c>
      <c r="C847" s="2" t="str">
        <f t="shared" si="66"/>
        <v>월</v>
      </c>
      <c r="D847" s="3">
        <v>44956</v>
      </c>
      <c r="E847" s="7">
        <v>695</v>
      </c>
      <c r="F847" s="2" t="s">
        <v>12</v>
      </c>
      <c r="G847" s="1">
        <v>23</v>
      </c>
      <c r="H847" s="6">
        <f t="shared" si="63"/>
        <v>672</v>
      </c>
      <c r="I847" s="1">
        <f>+COUNTIF(F$3:$F847,F847)</f>
        <v>38</v>
      </c>
      <c r="K847" s="132" t="str">
        <f t="shared" si="67"/>
        <v>평일</v>
      </c>
    </row>
    <row r="848" spans="1:11" ht="21.75" customHeight="1" x14ac:dyDescent="0.25">
      <c r="A848" s="2">
        <f t="shared" si="64"/>
        <v>2023</v>
      </c>
      <c r="B848" s="2">
        <f t="shared" si="65"/>
        <v>1</v>
      </c>
      <c r="C848" s="2" t="str">
        <f t="shared" si="66"/>
        <v>화</v>
      </c>
      <c r="D848" s="3">
        <v>44957</v>
      </c>
      <c r="E848" s="7">
        <v>677</v>
      </c>
      <c r="F848" s="2" t="s">
        <v>12</v>
      </c>
      <c r="G848" s="1">
        <v>14</v>
      </c>
      <c r="H848" s="6">
        <f t="shared" si="63"/>
        <v>663</v>
      </c>
      <c r="I848" s="1">
        <f>+COUNTIF(F$3:$F848,F848)</f>
        <v>39</v>
      </c>
      <c r="K848" s="132" t="str">
        <f t="shared" si="67"/>
        <v>평일</v>
      </c>
    </row>
    <row r="849" spans="1:11" ht="21.75" customHeight="1" x14ac:dyDescent="0.25">
      <c r="A849" s="2">
        <f t="shared" si="64"/>
        <v>2023</v>
      </c>
      <c r="B849" s="2">
        <f t="shared" si="65"/>
        <v>2</v>
      </c>
      <c r="C849" s="2" t="str">
        <f t="shared" si="66"/>
        <v>수</v>
      </c>
      <c r="D849" s="3">
        <v>44958</v>
      </c>
      <c r="E849" s="7">
        <v>198</v>
      </c>
      <c r="F849" s="2" t="s">
        <v>12</v>
      </c>
      <c r="G849" s="1">
        <v>18</v>
      </c>
      <c r="H849" s="6">
        <f t="shared" si="63"/>
        <v>180</v>
      </c>
      <c r="I849" s="1">
        <f>+COUNTIF(F$3:$F849,F849)</f>
        <v>40</v>
      </c>
      <c r="K849" s="132" t="str">
        <f t="shared" si="67"/>
        <v>평일</v>
      </c>
    </row>
    <row r="850" spans="1:11" ht="21.75" customHeight="1" x14ac:dyDescent="0.25">
      <c r="A850" s="2">
        <f t="shared" si="64"/>
        <v>2023</v>
      </c>
      <c r="B850" s="2">
        <f t="shared" si="65"/>
        <v>2</v>
      </c>
      <c r="C850" s="2" t="str">
        <f t="shared" si="66"/>
        <v>목</v>
      </c>
      <c r="D850" s="3">
        <v>44959</v>
      </c>
      <c r="E850" s="7">
        <v>186</v>
      </c>
      <c r="F850" s="2" t="s">
        <v>12</v>
      </c>
      <c r="G850" s="1">
        <v>14</v>
      </c>
      <c r="H850" s="6">
        <f t="shared" si="63"/>
        <v>172</v>
      </c>
      <c r="I850" s="1">
        <f>+COUNTIF(F$3:$F850,F850)</f>
        <v>41</v>
      </c>
      <c r="K850" s="132" t="str">
        <f t="shared" si="67"/>
        <v>평일</v>
      </c>
    </row>
    <row r="851" spans="1:11" ht="21.75" customHeight="1" x14ac:dyDescent="0.25">
      <c r="A851" s="2">
        <f t="shared" si="64"/>
        <v>2023</v>
      </c>
      <c r="B851" s="2">
        <f t="shared" si="65"/>
        <v>2</v>
      </c>
      <c r="C851" s="2" t="str">
        <f t="shared" si="66"/>
        <v>금</v>
      </c>
      <c r="D851" s="3">
        <v>44960</v>
      </c>
      <c r="E851" s="7">
        <v>256</v>
      </c>
      <c r="F851" s="2" t="s">
        <v>12</v>
      </c>
      <c r="G851" s="1">
        <v>30</v>
      </c>
      <c r="H851" s="6">
        <f t="shared" si="63"/>
        <v>226</v>
      </c>
      <c r="I851" s="1">
        <f>+COUNTIF(F$3:$F851,F851)</f>
        <v>42</v>
      </c>
      <c r="K851" s="132" t="str">
        <f t="shared" si="67"/>
        <v>평일</v>
      </c>
    </row>
    <row r="852" spans="1:11" ht="21.75" customHeight="1" x14ac:dyDescent="0.25">
      <c r="A852" s="2">
        <f t="shared" si="64"/>
        <v>2023</v>
      </c>
      <c r="B852" s="2">
        <f t="shared" si="65"/>
        <v>2</v>
      </c>
      <c r="C852" s="2" t="str">
        <f t="shared" si="66"/>
        <v>토</v>
      </c>
      <c r="D852" s="3">
        <v>44961</v>
      </c>
      <c r="E852" s="7">
        <v>638</v>
      </c>
      <c r="F852" s="2" t="s">
        <v>12</v>
      </c>
      <c r="G852" s="1">
        <v>86</v>
      </c>
      <c r="H852" s="6">
        <f t="shared" si="63"/>
        <v>552</v>
      </c>
      <c r="I852" s="1">
        <f>+COUNTIF(F$3:$F852,F852)</f>
        <v>43</v>
      </c>
      <c r="K852" s="132" t="str">
        <f t="shared" si="67"/>
        <v>주말</v>
      </c>
    </row>
    <row r="853" spans="1:11" ht="21.75" customHeight="1" x14ac:dyDescent="0.25">
      <c r="A853" s="2">
        <f t="shared" si="64"/>
        <v>2023</v>
      </c>
      <c r="B853" s="2">
        <f t="shared" si="65"/>
        <v>2</v>
      </c>
      <c r="C853" s="2" t="str">
        <f t="shared" si="66"/>
        <v>일</v>
      </c>
      <c r="D853" s="3">
        <v>44962</v>
      </c>
      <c r="E853" s="7">
        <v>507</v>
      </c>
      <c r="F853" s="2" t="s">
        <v>12</v>
      </c>
      <c r="G853" s="1">
        <v>64</v>
      </c>
      <c r="H853" s="6">
        <f t="shared" si="63"/>
        <v>443</v>
      </c>
      <c r="I853" s="1">
        <f>+COUNTIF(F$3:$F853,F853)</f>
        <v>44</v>
      </c>
      <c r="K853" s="132" t="str">
        <f t="shared" si="67"/>
        <v>주말</v>
      </c>
    </row>
    <row r="854" spans="1:11" ht="21.75" customHeight="1" x14ac:dyDescent="0.25">
      <c r="A854" s="2">
        <f t="shared" si="64"/>
        <v>2023</v>
      </c>
      <c r="B854" s="2">
        <f t="shared" si="65"/>
        <v>2</v>
      </c>
      <c r="C854" s="2" t="str">
        <f t="shared" si="66"/>
        <v>월</v>
      </c>
      <c r="D854" s="3">
        <v>44963</v>
      </c>
      <c r="E854" s="7">
        <v>258</v>
      </c>
      <c r="F854" s="2" t="s">
        <v>12</v>
      </c>
      <c r="G854" s="1">
        <v>30</v>
      </c>
      <c r="H854" s="6">
        <f t="shared" si="63"/>
        <v>228</v>
      </c>
      <c r="I854" s="1">
        <f>+COUNTIF(F$3:$F854,F854)</f>
        <v>45</v>
      </c>
      <c r="K854" s="132" t="str">
        <f t="shared" si="67"/>
        <v>평일</v>
      </c>
    </row>
    <row r="855" spans="1:11" ht="21.75" customHeight="1" x14ac:dyDescent="0.25">
      <c r="A855" s="2">
        <f t="shared" si="64"/>
        <v>2023</v>
      </c>
      <c r="B855" s="2">
        <f t="shared" si="65"/>
        <v>2</v>
      </c>
      <c r="C855" s="2" t="str">
        <f t="shared" si="66"/>
        <v>화</v>
      </c>
      <c r="D855" s="3">
        <v>44964</v>
      </c>
      <c r="E855" s="7">
        <v>245</v>
      </c>
      <c r="F855" s="2" t="s">
        <v>12</v>
      </c>
      <c r="G855" s="1">
        <v>42</v>
      </c>
      <c r="H855" s="6">
        <f t="shared" si="63"/>
        <v>203</v>
      </c>
      <c r="I855" s="1">
        <f>+COUNTIF(F$3:$F855,F855)</f>
        <v>46</v>
      </c>
      <c r="K855" s="132" t="str">
        <f t="shared" si="67"/>
        <v>평일</v>
      </c>
    </row>
    <row r="856" spans="1:11" ht="21.75" customHeight="1" x14ac:dyDescent="0.25">
      <c r="A856" s="2">
        <f t="shared" si="64"/>
        <v>2023</v>
      </c>
      <c r="B856" s="2">
        <f t="shared" si="65"/>
        <v>2</v>
      </c>
      <c r="C856" s="2" t="str">
        <f t="shared" si="66"/>
        <v>수</v>
      </c>
      <c r="D856" s="3">
        <v>44965</v>
      </c>
      <c r="E856" s="7">
        <v>195</v>
      </c>
      <c r="F856" s="2" t="s">
        <v>12</v>
      </c>
      <c r="G856" s="1">
        <v>33</v>
      </c>
      <c r="H856" s="6">
        <f t="shared" si="63"/>
        <v>162</v>
      </c>
      <c r="I856" s="1">
        <f>+COUNTIF(F$3:$F856,F856)</f>
        <v>47</v>
      </c>
      <c r="K856" s="132" t="str">
        <f t="shared" si="67"/>
        <v>평일</v>
      </c>
    </row>
    <row r="857" spans="1:11" ht="21.75" customHeight="1" x14ac:dyDescent="0.25">
      <c r="A857" s="2">
        <f t="shared" si="64"/>
        <v>2023</v>
      </c>
      <c r="B857" s="2">
        <f t="shared" si="65"/>
        <v>2</v>
      </c>
      <c r="C857" s="2" t="str">
        <f t="shared" si="66"/>
        <v>목</v>
      </c>
      <c r="D857" s="3">
        <v>44966</v>
      </c>
      <c r="E857" s="7">
        <v>190</v>
      </c>
      <c r="F857" s="2" t="s">
        <v>12</v>
      </c>
      <c r="G857" s="1">
        <v>20</v>
      </c>
      <c r="H857" s="6">
        <f t="shared" si="63"/>
        <v>170</v>
      </c>
      <c r="I857" s="1">
        <f>+COUNTIF(F$3:$F857,F857)</f>
        <v>48</v>
      </c>
      <c r="K857" s="132" t="str">
        <f t="shared" si="67"/>
        <v>평일</v>
      </c>
    </row>
    <row r="858" spans="1:11" ht="21.75" customHeight="1" x14ac:dyDescent="0.25">
      <c r="A858" s="2">
        <f t="shared" si="64"/>
        <v>2023</v>
      </c>
      <c r="B858" s="2">
        <f t="shared" si="65"/>
        <v>2</v>
      </c>
      <c r="C858" s="2" t="str">
        <f t="shared" si="66"/>
        <v>금</v>
      </c>
      <c r="D858" s="3">
        <v>44967</v>
      </c>
      <c r="E858" s="7">
        <v>294</v>
      </c>
      <c r="F858" s="2" t="s">
        <v>12</v>
      </c>
      <c r="G858" s="1">
        <v>48</v>
      </c>
      <c r="H858" s="6">
        <f t="shared" si="63"/>
        <v>246</v>
      </c>
      <c r="I858" s="1">
        <f>+COUNTIF(F$3:$F858,F858)</f>
        <v>49</v>
      </c>
      <c r="K858" s="132" t="str">
        <f t="shared" si="67"/>
        <v>평일</v>
      </c>
    </row>
    <row r="859" spans="1:11" ht="21.75" customHeight="1" x14ac:dyDescent="0.25">
      <c r="A859" s="2">
        <f t="shared" si="64"/>
        <v>2023</v>
      </c>
      <c r="B859" s="2">
        <f t="shared" si="65"/>
        <v>2</v>
      </c>
      <c r="C859" s="2" t="str">
        <f t="shared" si="66"/>
        <v>토</v>
      </c>
      <c r="D859" s="3">
        <v>44968</v>
      </c>
      <c r="E859" s="7">
        <v>638</v>
      </c>
      <c r="F859" s="2" t="s">
        <v>12</v>
      </c>
      <c r="G859" s="1">
        <v>75</v>
      </c>
      <c r="H859" s="6">
        <f t="shared" si="63"/>
        <v>563</v>
      </c>
      <c r="I859" s="1">
        <f>+COUNTIF(F$3:$F859,F859)</f>
        <v>50</v>
      </c>
      <c r="K859" s="132" t="str">
        <f t="shared" si="67"/>
        <v>주말</v>
      </c>
    </row>
    <row r="860" spans="1:11" ht="21.75" customHeight="1" x14ac:dyDescent="0.25">
      <c r="A860" s="2">
        <f t="shared" si="64"/>
        <v>2023</v>
      </c>
      <c r="B860" s="2">
        <f t="shared" si="65"/>
        <v>2</v>
      </c>
      <c r="C860" s="2" t="str">
        <f t="shared" si="66"/>
        <v>일</v>
      </c>
      <c r="D860" s="3">
        <v>44969</v>
      </c>
      <c r="E860" s="7">
        <v>529</v>
      </c>
      <c r="F860" s="2" t="s">
        <v>12</v>
      </c>
      <c r="G860" s="1">
        <v>99</v>
      </c>
      <c r="H860" s="6">
        <f t="shared" si="63"/>
        <v>430</v>
      </c>
      <c r="I860" s="1">
        <f>+COUNTIF(F$3:$F860,F860)</f>
        <v>51</v>
      </c>
      <c r="K860" s="132" t="str">
        <f t="shared" si="67"/>
        <v>주말</v>
      </c>
    </row>
    <row r="861" spans="1:11" ht="21.75" customHeight="1" x14ac:dyDescent="0.25">
      <c r="A861" s="2">
        <f t="shared" si="64"/>
        <v>2023</v>
      </c>
      <c r="B861" s="2">
        <f t="shared" si="65"/>
        <v>2</v>
      </c>
      <c r="C861" s="2" t="str">
        <f t="shared" si="66"/>
        <v>월</v>
      </c>
      <c r="D861" s="3">
        <v>44970</v>
      </c>
      <c r="E861" s="7">
        <v>280</v>
      </c>
      <c r="F861" s="2" t="s">
        <v>12</v>
      </c>
      <c r="G861" s="1">
        <v>44</v>
      </c>
      <c r="H861" s="6">
        <f t="shared" si="63"/>
        <v>236</v>
      </c>
      <c r="I861" s="1">
        <f>+COUNTIF(F$3:$F861,F861)</f>
        <v>52</v>
      </c>
      <c r="K861" s="132" t="str">
        <f t="shared" si="67"/>
        <v>평일</v>
      </c>
    </row>
    <row r="862" spans="1:11" ht="21.75" customHeight="1" x14ac:dyDescent="0.25">
      <c r="A862" s="2">
        <f t="shared" si="64"/>
        <v>2023</v>
      </c>
      <c r="B862" s="2">
        <f t="shared" si="65"/>
        <v>2</v>
      </c>
      <c r="C862" s="2" t="str">
        <f t="shared" si="66"/>
        <v>화</v>
      </c>
      <c r="D862" s="3">
        <v>44971</v>
      </c>
      <c r="E862" s="7">
        <v>348</v>
      </c>
      <c r="F862" s="2" t="s">
        <v>12</v>
      </c>
      <c r="G862" s="1">
        <v>50</v>
      </c>
      <c r="H862" s="6">
        <f t="shared" si="63"/>
        <v>298</v>
      </c>
      <c r="I862" s="1">
        <f>+COUNTIF(F$3:$F862,F862)</f>
        <v>53</v>
      </c>
      <c r="K862" s="132" t="str">
        <f t="shared" si="67"/>
        <v>평일</v>
      </c>
    </row>
    <row r="863" spans="1:11" ht="21.75" customHeight="1" x14ac:dyDescent="0.25">
      <c r="A863" s="2">
        <f t="shared" si="64"/>
        <v>2023</v>
      </c>
      <c r="B863" s="2">
        <f t="shared" si="65"/>
        <v>2</v>
      </c>
      <c r="C863" s="2" t="str">
        <f t="shared" si="66"/>
        <v>수</v>
      </c>
      <c r="D863" s="3">
        <v>44972</v>
      </c>
      <c r="E863" s="7">
        <v>241</v>
      </c>
      <c r="F863" s="2" t="s">
        <v>12</v>
      </c>
      <c r="G863" s="1">
        <v>40</v>
      </c>
      <c r="H863" s="6">
        <f t="shared" si="63"/>
        <v>201</v>
      </c>
      <c r="I863" s="1">
        <f>+COUNTIF(F$3:$F863,F863)</f>
        <v>54</v>
      </c>
      <c r="K863" s="132" t="str">
        <f t="shared" si="67"/>
        <v>평일</v>
      </c>
    </row>
    <row r="864" spans="1:11" ht="21.75" customHeight="1" x14ac:dyDescent="0.25">
      <c r="A864" s="2">
        <f t="shared" si="64"/>
        <v>2023</v>
      </c>
      <c r="B864" s="2">
        <f t="shared" si="65"/>
        <v>2</v>
      </c>
      <c r="C864" s="2" t="str">
        <f t="shared" si="66"/>
        <v>목</v>
      </c>
      <c r="D864" s="3">
        <v>44973</v>
      </c>
      <c r="E864" s="7">
        <v>239</v>
      </c>
      <c r="F864" s="2" t="s">
        <v>12</v>
      </c>
      <c r="G864" s="1">
        <v>28</v>
      </c>
      <c r="H864" s="6">
        <f t="shared" si="63"/>
        <v>211</v>
      </c>
      <c r="I864" s="1">
        <f>+COUNTIF(F$3:$F864,F864)</f>
        <v>55</v>
      </c>
      <c r="K864" s="132" t="str">
        <f t="shared" si="67"/>
        <v>평일</v>
      </c>
    </row>
    <row r="865" spans="1:11" ht="21.75" customHeight="1" x14ac:dyDescent="0.25">
      <c r="A865" s="2">
        <f t="shared" si="64"/>
        <v>2023</v>
      </c>
      <c r="B865" s="2">
        <f t="shared" si="65"/>
        <v>2</v>
      </c>
      <c r="C865" s="2" t="str">
        <f t="shared" si="66"/>
        <v>금</v>
      </c>
      <c r="D865" s="3">
        <v>44974</v>
      </c>
      <c r="E865" s="7">
        <v>273</v>
      </c>
      <c r="F865" s="2" t="s">
        <v>12</v>
      </c>
      <c r="G865" s="1">
        <v>28</v>
      </c>
      <c r="H865" s="6">
        <f t="shared" si="63"/>
        <v>245</v>
      </c>
      <c r="I865" s="1">
        <f>+COUNTIF(F$3:$F865,F865)</f>
        <v>56</v>
      </c>
      <c r="K865" s="132" t="str">
        <f t="shared" si="67"/>
        <v>평일</v>
      </c>
    </row>
    <row r="866" spans="1:11" ht="21.75" customHeight="1" x14ac:dyDescent="0.25">
      <c r="A866" s="2">
        <f t="shared" si="64"/>
        <v>2023</v>
      </c>
      <c r="B866" s="2">
        <f t="shared" si="65"/>
        <v>2</v>
      </c>
      <c r="C866" s="2" t="str">
        <f t="shared" si="66"/>
        <v>토</v>
      </c>
      <c r="D866" s="3">
        <v>44975</v>
      </c>
      <c r="E866" s="7">
        <v>573</v>
      </c>
      <c r="F866" s="2" t="s">
        <v>12</v>
      </c>
      <c r="G866" s="1">
        <v>75</v>
      </c>
      <c r="H866" s="6">
        <f t="shared" si="63"/>
        <v>498</v>
      </c>
      <c r="I866" s="1">
        <f>+COUNTIF(F$3:$F866,F866)</f>
        <v>57</v>
      </c>
      <c r="K866" s="132" t="str">
        <f t="shared" si="67"/>
        <v>주말</v>
      </c>
    </row>
    <row r="867" spans="1:11" ht="21.75" customHeight="1" x14ac:dyDescent="0.25">
      <c r="A867" s="2">
        <f t="shared" si="64"/>
        <v>2023</v>
      </c>
      <c r="B867" s="2">
        <f t="shared" si="65"/>
        <v>2</v>
      </c>
      <c r="C867" s="2" t="str">
        <f t="shared" si="66"/>
        <v>일</v>
      </c>
      <c r="D867" s="3">
        <v>44976</v>
      </c>
      <c r="E867" s="7">
        <v>504</v>
      </c>
      <c r="F867" s="2" t="s">
        <v>12</v>
      </c>
      <c r="G867" s="1">
        <v>94</v>
      </c>
      <c r="H867" s="6">
        <f t="shared" si="63"/>
        <v>410</v>
      </c>
      <c r="I867" s="1">
        <f>+COUNTIF(F$3:$F867,F867)</f>
        <v>58</v>
      </c>
      <c r="K867" s="132" t="str">
        <f t="shared" si="67"/>
        <v>주말</v>
      </c>
    </row>
    <row r="868" spans="1:11" ht="21.75" customHeight="1" x14ac:dyDescent="0.25">
      <c r="A868" s="2">
        <f t="shared" si="64"/>
        <v>2023</v>
      </c>
      <c r="B868" s="2">
        <f t="shared" si="65"/>
        <v>2</v>
      </c>
      <c r="C868" s="2" t="str">
        <f t="shared" si="66"/>
        <v>월</v>
      </c>
      <c r="D868" s="3">
        <v>44977</v>
      </c>
      <c r="E868" s="7">
        <v>224</v>
      </c>
      <c r="F868" s="2" t="s">
        <v>12</v>
      </c>
      <c r="G868" s="1">
        <v>21</v>
      </c>
      <c r="H868" s="6">
        <f t="shared" si="63"/>
        <v>203</v>
      </c>
      <c r="I868" s="1">
        <f>+COUNTIF(F$3:$F868,F868)</f>
        <v>59</v>
      </c>
      <c r="K868" s="132" t="str">
        <f t="shared" si="67"/>
        <v>평일</v>
      </c>
    </row>
    <row r="869" spans="1:11" ht="21.75" customHeight="1" x14ac:dyDescent="0.25">
      <c r="A869" s="2">
        <f t="shared" si="64"/>
        <v>2023</v>
      </c>
      <c r="B869" s="2">
        <f t="shared" si="65"/>
        <v>2</v>
      </c>
      <c r="C869" s="2" t="str">
        <f t="shared" si="66"/>
        <v>화</v>
      </c>
      <c r="D869" s="3">
        <v>44978</v>
      </c>
      <c r="E869" s="7">
        <v>196</v>
      </c>
      <c r="F869" s="2" t="s">
        <v>12</v>
      </c>
      <c r="G869" s="1">
        <v>26</v>
      </c>
      <c r="H869" s="6">
        <f t="shared" si="63"/>
        <v>170</v>
      </c>
      <c r="I869" s="1">
        <f>+COUNTIF(F$3:$F869,F869)</f>
        <v>60</v>
      </c>
      <c r="K869" s="132" t="str">
        <f t="shared" si="67"/>
        <v>평일</v>
      </c>
    </row>
    <row r="870" spans="1:11" ht="21.75" customHeight="1" x14ac:dyDescent="0.25">
      <c r="A870" s="2">
        <f t="shared" si="64"/>
        <v>2023</v>
      </c>
      <c r="B870" s="2">
        <f t="shared" si="65"/>
        <v>2</v>
      </c>
      <c r="C870" s="2" t="str">
        <f t="shared" si="66"/>
        <v>수</v>
      </c>
      <c r="D870" s="3">
        <v>44979</v>
      </c>
      <c r="E870" s="7">
        <v>471</v>
      </c>
      <c r="F870" s="2" t="s">
        <v>12</v>
      </c>
      <c r="G870" s="1">
        <v>33</v>
      </c>
      <c r="H870" s="6">
        <f t="shared" si="63"/>
        <v>438</v>
      </c>
      <c r="I870" s="1">
        <f>+COUNTIF(F$3:$F870,F870)</f>
        <v>61</v>
      </c>
      <c r="K870" s="132" t="str">
        <f t="shared" si="67"/>
        <v>평일</v>
      </c>
    </row>
    <row r="871" spans="1:11" ht="21.75" customHeight="1" x14ac:dyDescent="0.25">
      <c r="A871" s="2">
        <f t="shared" si="64"/>
        <v>2023</v>
      </c>
      <c r="B871" s="2">
        <f t="shared" si="65"/>
        <v>2</v>
      </c>
      <c r="C871" s="2" t="str">
        <f t="shared" si="66"/>
        <v>목</v>
      </c>
      <c r="D871" s="3">
        <v>44980</v>
      </c>
      <c r="E871" s="7">
        <v>228</v>
      </c>
      <c r="F871" s="2" t="s">
        <v>12</v>
      </c>
      <c r="G871" s="1">
        <v>30</v>
      </c>
      <c r="H871" s="6">
        <f t="shared" si="63"/>
        <v>198</v>
      </c>
      <c r="I871" s="1">
        <f>+COUNTIF(F$3:$F871,F871)</f>
        <v>62</v>
      </c>
      <c r="K871" s="132" t="str">
        <f t="shared" si="67"/>
        <v>평일</v>
      </c>
    </row>
    <row r="872" spans="1:11" ht="21.75" customHeight="1" x14ac:dyDescent="0.25">
      <c r="A872" s="2">
        <f t="shared" si="64"/>
        <v>2023</v>
      </c>
      <c r="B872" s="2">
        <f t="shared" si="65"/>
        <v>2</v>
      </c>
      <c r="C872" s="2" t="str">
        <f t="shared" si="66"/>
        <v>금</v>
      </c>
      <c r="D872" s="3">
        <v>44981</v>
      </c>
      <c r="E872" s="7">
        <v>234</v>
      </c>
      <c r="F872" s="2" t="s">
        <v>12</v>
      </c>
      <c r="G872" s="1">
        <v>40</v>
      </c>
      <c r="H872" s="6">
        <f t="shared" si="63"/>
        <v>194</v>
      </c>
      <c r="I872" s="1">
        <f>+COUNTIF(F$3:$F872,F872)</f>
        <v>63</v>
      </c>
      <c r="K872" s="132" t="str">
        <f t="shared" si="67"/>
        <v>평일</v>
      </c>
    </row>
    <row r="873" spans="1:11" ht="21.75" customHeight="1" x14ac:dyDescent="0.25">
      <c r="A873" s="2">
        <f t="shared" si="64"/>
        <v>2023</v>
      </c>
      <c r="B873" s="2">
        <f t="shared" si="65"/>
        <v>2</v>
      </c>
      <c r="C873" s="2" t="str">
        <f t="shared" si="66"/>
        <v>토</v>
      </c>
      <c r="D873" s="3">
        <v>44982</v>
      </c>
      <c r="E873" s="7">
        <v>554</v>
      </c>
      <c r="F873" s="2" t="s">
        <v>12</v>
      </c>
      <c r="G873" s="1">
        <v>89</v>
      </c>
      <c r="H873" s="6">
        <f t="shared" si="63"/>
        <v>465</v>
      </c>
      <c r="I873" s="1">
        <f>+COUNTIF(F$3:$F873,F873)</f>
        <v>64</v>
      </c>
      <c r="K873" s="132" t="str">
        <f t="shared" si="67"/>
        <v>주말</v>
      </c>
    </row>
    <row r="874" spans="1:11" ht="21.75" customHeight="1" x14ac:dyDescent="0.25">
      <c r="A874" s="2">
        <f t="shared" si="64"/>
        <v>2023</v>
      </c>
      <c r="B874" s="2">
        <f t="shared" si="65"/>
        <v>2</v>
      </c>
      <c r="C874" s="2" t="str">
        <f t="shared" si="66"/>
        <v>일</v>
      </c>
      <c r="D874" s="3">
        <v>44983</v>
      </c>
      <c r="E874" s="7">
        <v>465</v>
      </c>
      <c r="F874" s="2" t="s">
        <v>12</v>
      </c>
      <c r="G874" s="1">
        <v>74</v>
      </c>
      <c r="H874" s="6">
        <f t="shared" si="63"/>
        <v>391</v>
      </c>
      <c r="I874" s="1">
        <f>+COUNTIF(F$3:$F874,F874)</f>
        <v>65</v>
      </c>
      <c r="K874" s="132" t="str">
        <f t="shared" si="67"/>
        <v>주말</v>
      </c>
    </row>
    <row r="875" spans="1:11" ht="21.75" customHeight="1" x14ac:dyDescent="0.25">
      <c r="A875" s="2">
        <f t="shared" si="64"/>
        <v>2023</v>
      </c>
      <c r="B875" s="2">
        <f t="shared" si="65"/>
        <v>2</v>
      </c>
      <c r="C875" s="2" t="str">
        <f t="shared" si="66"/>
        <v>월</v>
      </c>
      <c r="D875" s="3">
        <v>44984</v>
      </c>
      <c r="E875" s="7">
        <v>259</v>
      </c>
      <c r="F875" s="2" t="s">
        <v>12</v>
      </c>
      <c r="G875" s="1">
        <v>22</v>
      </c>
      <c r="H875" s="6">
        <f t="shared" ref="H875:H902" si="68">+E875-G875</f>
        <v>237</v>
      </c>
      <c r="I875" s="1">
        <f>+COUNTIF(F$3:$F875,F875)</f>
        <v>66</v>
      </c>
      <c r="K875" s="132" t="str">
        <f t="shared" si="67"/>
        <v>평일</v>
      </c>
    </row>
    <row r="876" spans="1:11" ht="21.75" customHeight="1" x14ac:dyDescent="0.25">
      <c r="A876" s="2">
        <f t="shared" si="64"/>
        <v>2023</v>
      </c>
      <c r="B876" s="2">
        <f t="shared" si="65"/>
        <v>2</v>
      </c>
      <c r="C876" s="2" t="str">
        <f t="shared" si="66"/>
        <v>화</v>
      </c>
      <c r="D876" s="3">
        <v>44985</v>
      </c>
      <c r="E876" s="7">
        <v>246</v>
      </c>
      <c r="F876" s="2" t="s">
        <v>12</v>
      </c>
      <c r="G876" s="1">
        <v>40</v>
      </c>
      <c r="H876" s="6">
        <f t="shared" si="68"/>
        <v>206</v>
      </c>
      <c r="I876" s="1">
        <f>+COUNTIF(F$3:$F876,F876)</f>
        <v>67</v>
      </c>
      <c r="K876" s="132" t="str">
        <f t="shared" si="67"/>
        <v>평일</v>
      </c>
    </row>
    <row r="877" spans="1:11" ht="21.75" customHeight="1" x14ac:dyDescent="0.25">
      <c r="A877" s="2">
        <f t="shared" si="64"/>
        <v>2023</v>
      </c>
      <c r="B877" s="2">
        <f t="shared" si="65"/>
        <v>3</v>
      </c>
      <c r="C877" s="2" t="str">
        <f t="shared" si="66"/>
        <v>수</v>
      </c>
      <c r="D877" s="3">
        <v>44986</v>
      </c>
      <c r="E877" s="7">
        <v>526</v>
      </c>
      <c r="F877" s="2" t="s">
        <v>12</v>
      </c>
      <c r="G877" s="1">
        <v>75</v>
      </c>
      <c r="H877" s="6">
        <f t="shared" si="68"/>
        <v>451</v>
      </c>
      <c r="I877" s="1">
        <f>+COUNTIF(F$3:$F877,F877)</f>
        <v>68</v>
      </c>
      <c r="K877" s="132" t="str">
        <f t="shared" si="67"/>
        <v>평일</v>
      </c>
    </row>
    <row r="878" spans="1:11" ht="21.75" customHeight="1" x14ac:dyDescent="0.25">
      <c r="A878" s="2">
        <f t="shared" si="64"/>
        <v>2023</v>
      </c>
      <c r="B878" s="2">
        <f t="shared" si="65"/>
        <v>3</v>
      </c>
      <c r="C878" s="2" t="str">
        <f t="shared" si="66"/>
        <v>목</v>
      </c>
      <c r="D878" s="3">
        <v>44987</v>
      </c>
      <c r="E878" s="7">
        <v>137</v>
      </c>
      <c r="F878" s="2" t="s">
        <v>12</v>
      </c>
      <c r="G878" s="1">
        <v>21</v>
      </c>
      <c r="H878" s="6">
        <f t="shared" si="68"/>
        <v>116</v>
      </c>
      <c r="I878" s="1">
        <f>+COUNTIF(F$3:$F878,F878)</f>
        <v>69</v>
      </c>
      <c r="K878" s="132" t="str">
        <f t="shared" si="67"/>
        <v>평일</v>
      </c>
    </row>
    <row r="879" spans="1:11" ht="21.75" customHeight="1" x14ac:dyDescent="0.25">
      <c r="A879" s="2">
        <f t="shared" si="64"/>
        <v>2023</v>
      </c>
      <c r="B879" s="2">
        <f t="shared" si="65"/>
        <v>3</v>
      </c>
      <c r="C879" s="2" t="str">
        <f t="shared" si="66"/>
        <v>금</v>
      </c>
      <c r="D879" s="3">
        <v>44988</v>
      </c>
      <c r="E879" s="7">
        <v>192</v>
      </c>
      <c r="F879" s="2" t="s">
        <v>12</v>
      </c>
      <c r="G879" s="1">
        <v>35</v>
      </c>
      <c r="H879" s="6">
        <f t="shared" si="68"/>
        <v>157</v>
      </c>
      <c r="I879" s="1">
        <f>+COUNTIF(F$3:$F879,F879)</f>
        <v>70</v>
      </c>
      <c r="K879" s="132" t="str">
        <f t="shared" si="67"/>
        <v>평일</v>
      </c>
    </row>
    <row r="880" spans="1:11" ht="21.75" customHeight="1" x14ac:dyDescent="0.25">
      <c r="A880" s="2">
        <f t="shared" si="64"/>
        <v>2023</v>
      </c>
      <c r="B880" s="2">
        <f t="shared" si="65"/>
        <v>3</v>
      </c>
      <c r="C880" s="2" t="str">
        <f t="shared" si="66"/>
        <v>토</v>
      </c>
      <c r="D880" s="3">
        <v>44989</v>
      </c>
      <c r="E880" s="7">
        <v>460</v>
      </c>
      <c r="F880" s="2" t="s">
        <v>12</v>
      </c>
      <c r="G880" s="1">
        <v>96</v>
      </c>
      <c r="H880" s="6">
        <f t="shared" si="68"/>
        <v>364</v>
      </c>
      <c r="I880" s="1">
        <f>+COUNTIF(F$3:$F880,F880)</f>
        <v>71</v>
      </c>
      <c r="K880" s="132" t="str">
        <f t="shared" si="67"/>
        <v>주말</v>
      </c>
    </row>
    <row r="881" spans="1:11" ht="21.75" customHeight="1" x14ac:dyDescent="0.25">
      <c r="A881" s="2">
        <f t="shared" si="64"/>
        <v>2023</v>
      </c>
      <c r="B881" s="2">
        <f t="shared" si="65"/>
        <v>3</v>
      </c>
      <c r="C881" s="2" t="str">
        <f t="shared" si="66"/>
        <v>일</v>
      </c>
      <c r="D881" s="3">
        <v>44990</v>
      </c>
      <c r="E881" s="7">
        <v>447</v>
      </c>
      <c r="F881" s="2" t="s">
        <v>12</v>
      </c>
      <c r="G881" s="1">
        <v>63</v>
      </c>
      <c r="H881" s="6">
        <f t="shared" si="68"/>
        <v>384</v>
      </c>
      <c r="I881" s="1">
        <f>+COUNTIF(F$3:$F881,F881)</f>
        <v>72</v>
      </c>
      <c r="K881" s="132" t="str">
        <f t="shared" si="67"/>
        <v>주말</v>
      </c>
    </row>
    <row r="882" spans="1:11" ht="21.75" customHeight="1" x14ac:dyDescent="0.25">
      <c r="A882" s="2">
        <f t="shared" si="64"/>
        <v>2023</v>
      </c>
      <c r="B882" s="2">
        <f t="shared" si="65"/>
        <v>3</v>
      </c>
      <c r="C882" s="2" t="str">
        <f t="shared" si="66"/>
        <v>월</v>
      </c>
      <c r="D882" s="3">
        <v>44991</v>
      </c>
      <c r="E882" s="7">
        <v>44</v>
      </c>
      <c r="F882" s="2" t="s">
        <v>12</v>
      </c>
      <c r="G882" s="1">
        <v>44</v>
      </c>
      <c r="H882" s="6">
        <f t="shared" si="68"/>
        <v>0</v>
      </c>
      <c r="I882" s="1">
        <f>+COUNTIF(F$3:$F882,F882)</f>
        <v>73</v>
      </c>
      <c r="K882" s="132" t="str">
        <f t="shared" si="67"/>
        <v>평일</v>
      </c>
    </row>
    <row r="883" spans="1:11" ht="21.75" customHeight="1" x14ac:dyDescent="0.25">
      <c r="A883" s="2">
        <f t="shared" si="64"/>
        <v>2023</v>
      </c>
      <c r="B883" s="2">
        <f t="shared" si="65"/>
        <v>3</v>
      </c>
      <c r="C883" s="2" t="str">
        <f t="shared" si="66"/>
        <v>화</v>
      </c>
      <c r="D883" s="3">
        <v>44992</v>
      </c>
      <c r="E883" s="7">
        <v>130</v>
      </c>
      <c r="F883" s="2" t="s">
        <v>12</v>
      </c>
      <c r="G883" s="1">
        <v>21</v>
      </c>
      <c r="H883" s="6">
        <f t="shared" si="68"/>
        <v>109</v>
      </c>
      <c r="I883" s="1">
        <f>+COUNTIF(F$3:$F883,F883)</f>
        <v>74</v>
      </c>
      <c r="K883" s="132" t="str">
        <f t="shared" si="67"/>
        <v>평일</v>
      </c>
    </row>
    <row r="884" spans="1:11" ht="21.75" customHeight="1" x14ac:dyDescent="0.25">
      <c r="A884" s="2">
        <f t="shared" si="64"/>
        <v>2023</v>
      </c>
      <c r="B884" s="2">
        <f t="shared" si="65"/>
        <v>3</v>
      </c>
      <c r="C884" s="2" t="str">
        <f t="shared" si="66"/>
        <v>수</v>
      </c>
      <c r="D884" s="3">
        <v>44993</v>
      </c>
      <c r="E884" s="7">
        <v>179</v>
      </c>
      <c r="F884" s="2" t="s">
        <v>12</v>
      </c>
      <c r="G884" s="1">
        <v>23</v>
      </c>
      <c r="H884" s="6">
        <f t="shared" si="68"/>
        <v>156</v>
      </c>
      <c r="I884" s="1">
        <f>+COUNTIF(F$3:$F884,F884)</f>
        <v>75</v>
      </c>
      <c r="K884" s="132" t="str">
        <f t="shared" si="67"/>
        <v>평일</v>
      </c>
    </row>
    <row r="885" spans="1:11" ht="21.75" customHeight="1" x14ac:dyDescent="0.25">
      <c r="A885" s="2">
        <f t="shared" si="64"/>
        <v>2023</v>
      </c>
      <c r="B885" s="2">
        <f t="shared" si="65"/>
        <v>3</v>
      </c>
      <c r="C885" s="2" t="str">
        <f t="shared" si="66"/>
        <v>목</v>
      </c>
      <c r="D885" s="3">
        <v>44994</v>
      </c>
      <c r="E885" s="7">
        <v>152</v>
      </c>
      <c r="F885" s="2" t="s">
        <v>12</v>
      </c>
      <c r="G885" s="1">
        <v>43</v>
      </c>
      <c r="H885" s="6">
        <f t="shared" si="68"/>
        <v>109</v>
      </c>
      <c r="I885" s="1">
        <f>+COUNTIF(F$3:$F885,F885)</f>
        <v>76</v>
      </c>
      <c r="K885" s="132" t="str">
        <f t="shared" si="67"/>
        <v>평일</v>
      </c>
    </row>
    <row r="886" spans="1:11" ht="21.75" customHeight="1" x14ac:dyDescent="0.25">
      <c r="A886" s="2">
        <f t="shared" si="64"/>
        <v>2023</v>
      </c>
      <c r="B886" s="2">
        <f t="shared" si="65"/>
        <v>3</v>
      </c>
      <c r="C886" s="2" t="str">
        <f t="shared" si="66"/>
        <v>금</v>
      </c>
      <c r="D886" s="3">
        <v>44995</v>
      </c>
      <c r="E886" s="7">
        <v>213</v>
      </c>
      <c r="F886" s="2" t="s">
        <v>12</v>
      </c>
      <c r="G886" s="1">
        <v>44</v>
      </c>
      <c r="H886" s="6">
        <f t="shared" si="68"/>
        <v>169</v>
      </c>
      <c r="I886" s="1">
        <f>+COUNTIF(F$3:$F886,F886)</f>
        <v>77</v>
      </c>
      <c r="K886" s="132" t="str">
        <f t="shared" si="67"/>
        <v>평일</v>
      </c>
    </row>
    <row r="887" spans="1:11" ht="21.75" customHeight="1" x14ac:dyDescent="0.25">
      <c r="A887" s="2">
        <f t="shared" si="64"/>
        <v>2023</v>
      </c>
      <c r="B887" s="2">
        <f t="shared" si="65"/>
        <v>3</v>
      </c>
      <c r="C887" s="2" t="str">
        <f t="shared" si="66"/>
        <v>토</v>
      </c>
      <c r="D887" s="3">
        <v>44996</v>
      </c>
      <c r="E887" s="7">
        <v>575</v>
      </c>
      <c r="F887" s="2" t="s">
        <v>12</v>
      </c>
      <c r="G887" s="1">
        <v>86</v>
      </c>
      <c r="H887" s="6">
        <f t="shared" si="68"/>
        <v>489</v>
      </c>
      <c r="I887" s="1">
        <f>+COUNTIF(F$3:$F887,F887)</f>
        <v>78</v>
      </c>
      <c r="K887" s="132" t="str">
        <f t="shared" si="67"/>
        <v>주말</v>
      </c>
    </row>
    <row r="888" spans="1:11" ht="21.75" customHeight="1" x14ac:dyDescent="0.25">
      <c r="A888" s="2">
        <f t="shared" si="64"/>
        <v>2023</v>
      </c>
      <c r="B888" s="2">
        <f t="shared" si="65"/>
        <v>3</v>
      </c>
      <c r="C888" s="2" t="str">
        <f t="shared" si="66"/>
        <v>일</v>
      </c>
      <c r="D888" s="3">
        <v>44997</v>
      </c>
      <c r="E888" s="7">
        <v>417</v>
      </c>
      <c r="F888" s="2" t="s">
        <v>12</v>
      </c>
      <c r="G888" s="1">
        <v>90</v>
      </c>
      <c r="H888" s="6">
        <f t="shared" si="68"/>
        <v>327</v>
      </c>
      <c r="I888" s="1">
        <f>+COUNTIF(F$3:$F888,F888)</f>
        <v>79</v>
      </c>
      <c r="K888" s="132" t="str">
        <f t="shared" si="67"/>
        <v>주말</v>
      </c>
    </row>
    <row r="889" spans="1:11" ht="21.75" customHeight="1" x14ac:dyDescent="0.25">
      <c r="A889" s="2">
        <f t="shared" si="64"/>
        <v>2023</v>
      </c>
      <c r="B889" s="2">
        <f t="shared" si="65"/>
        <v>3</v>
      </c>
      <c r="C889" s="2" t="str">
        <f t="shared" si="66"/>
        <v>월</v>
      </c>
      <c r="D889" s="3">
        <v>44998</v>
      </c>
      <c r="E889" s="7">
        <v>164</v>
      </c>
      <c r="F889" s="2" t="s">
        <v>12</v>
      </c>
      <c r="G889" s="1">
        <v>31</v>
      </c>
      <c r="H889" s="6">
        <f t="shared" si="68"/>
        <v>133</v>
      </c>
      <c r="I889" s="1">
        <f>+COUNTIF(F$3:$F889,F889)</f>
        <v>80</v>
      </c>
      <c r="K889" s="132" t="str">
        <f t="shared" si="67"/>
        <v>평일</v>
      </c>
    </row>
    <row r="890" spans="1:11" ht="21.75" customHeight="1" x14ac:dyDescent="0.25">
      <c r="A890" s="2">
        <f t="shared" si="64"/>
        <v>2023</v>
      </c>
      <c r="B890" s="2">
        <f t="shared" si="65"/>
        <v>3</v>
      </c>
      <c r="C890" s="2" t="str">
        <f t="shared" si="66"/>
        <v>화</v>
      </c>
      <c r="D890" s="3">
        <v>44999</v>
      </c>
      <c r="E890" s="7">
        <v>197</v>
      </c>
      <c r="F890" s="2" t="s">
        <v>12</v>
      </c>
      <c r="G890" s="1">
        <v>37</v>
      </c>
      <c r="H890" s="6">
        <f t="shared" si="68"/>
        <v>160</v>
      </c>
      <c r="I890" s="1">
        <f>+COUNTIF(F$3:$F890,F890)</f>
        <v>81</v>
      </c>
      <c r="K890" s="132" t="str">
        <f t="shared" si="67"/>
        <v>평일</v>
      </c>
    </row>
    <row r="891" spans="1:11" ht="21.75" customHeight="1" x14ac:dyDescent="0.25">
      <c r="A891" s="2">
        <f t="shared" si="64"/>
        <v>2023</v>
      </c>
      <c r="B891" s="2">
        <f t="shared" si="65"/>
        <v>3</v>
      </c>
      <c r="C891" s="2" t="str">
        <f t="shared" si="66"/>
        <v>수</v>
      </c>
      <c r="D891" s="3">
        <v>45000</v>
      </c>
      <c r="E891" s="7">
        <v>168</v>
      </c>
      <c r="F891" s="2" t="s">
        <v>12</v>
      </c>
      <c r="G891" s="1">
        <v>39</v>
      </c>
      <c r="H891" s="6">
        <f t="shared" si="68"/>
        <v>129</v>
      </c>
      <c r="I891" s="1">
        <f>+COUNTIF(F$3:$F891,F891)</f>
        <v>82</v>
      </c>
      <c r="K891" s="132" t="str">
        <f t="shared" si="67"/>
        <v>평일</v>
      </c>
    </row>
    <row r="892" spans="1:11" ht="21.75" customHeight="1" x14ac:dyDescent="0.25">
      <c r="A892" s="2">
        <f t="shared" si="64"/>
        <v>2023</v>
      </c>
      <c r="B892" s="2">
        <f t="shared" si="65"/>
        <v>3</v>
      </c>
      <c r="C892" s="2" t="str">
        <f t="shared" si="66"/>
        <v>목</v>
      </c>
      <c r="D892" s="3">
        <v>45001</v>
      </c>
      <c r="E892" s="7">
        <v>185</v>
      </c>
      <c r="F892" s="2" t="s">
        <v>12</v>
      </c>
      <c r="G892" s="1">
        <v>48</v>
      </c>
      <c r="H892" s="6">
        <f t="shared" si="68"/>
        <v>137</v>
      </c>
      <c r="I892" s="1">
        <f>+COUNTIF(F$3:$F892,F892)</f>
        <v>83</v>
      </c>
      <c r="K892" s="132" t="str">
        <f t="shared" si="67"/>
        <v>평일</v>
      </c>
    </row>
    <row r="893" spans="1:11" ht="21.75" customHeight="1" x14ac:dyDescent="0.25">
      <c r="A893" s="2">
        <f t="shared" si="64"/>
        <v>2023</v>
      </c>
      <c r="B893" s="2">
        <f t="shared" si="65"/>
        <v>3</v>
      </c>
      <c r="C893" s="2" t="str">
        <f t="shared" si="66"/>
        <v>금</v>
      </c>
      <c r="D893" s="3">
        <v>45002</v>
      </c>
      <c r="E893" s="7">
        <v>232</v>
      </c>
      <c r="F893" s="2" t="s">
        <v>12</v>
      </c>
      <c r="G893" s="1">
        <v>43</v>
      </c>
      <c r="H893" s="6">
        <f t="shared" si="68"/>
        <v>189</v>
      </c>
      <c r="I893" s="1">
        <f>+COUNTIF(F$3:$F893,F893)</f>
        <v>84</v>
      </c>
      <c r="K893" s="132" t="str">
        <f t="shared" si="67"/>
        <v>평일</v>
      </c>
    </row>
    <row r="894" spans="1:11" ht="21.75" customHeight="1" x14ac:dyDescent="0.25">
      <c r="A894" s="2">
        <f t="shared" si="64"/>
        <v>2023</v>
      </c>
      <c r="B894" s="2">
        <f t="shared" si="65"/>
        <v>3</v>
      </c>
      <c r="C894" s="2" t="str">
        <f t="shared" si="66"/>
        <v>토</v>
      </c>
      <c r="D894" s="3">
        <v>45003</v>
      </c>
      <c r="E894" s="7">
        <v>739</v>
      </c>
      <c r="F894" s="2" t="s">
        <v>12</v>
      </c>
      <c r="G894" s="1">
        <v>155</v>
      </c>
      <c r="H894" s="6">
        <f t="shared" si="68"/>
        <v>584</v>
      </c>
      <c r="I894" s="1">
        <f>+COUNTIF(F$3:$F894,F894)</f>
        <v>85</v>
      </c>
      <c r="K894" s="132" t="str">
        <f t="shared" si="67"/>
        <v>주말</v>
      </c>
    </row>
    <row r="895" spans="1:11" ht="21.75" customHeight="1" x14ac:dyDescent="0.25">
      <c r="A895" s="2">
        <f t="shared" si="64"/>
        <v>2023</v>
      </c>
      <c r="B895" s="2">
        <f t="shared" si="65"/>
        <v>3</v>
      </c>
      <c r="C895" s="2" t="str">
        <f t="shared" si="66"/>
        <v>일</v>
      </c>
      <c r="D895" s="3">
        <v>45004</v>
      </c>
      <c r="E895" s="7">
        <v>587</v>
      </c>
      <c r="F895" s="2" t="s">
        <v>12</v>
      </c>
      <c r="G895" s="1">
        <v>128</v>
      </c>
      <c r="H895" s="6">
        <f t="shared" si="68"/>
        <v>459</v>
      </c>
      <c r="I895" s="1">
        <f>+COUNTIF(F$3:$F895,F895)</f>
        <v>86</v>
      </c>
      <c r="K895" s="132" t="str">
        <f t="shared" si="67"/>
        <v>주말</v>
      </c>
    </row>
    <row r="896" spans="1:11" ht="21.75" customHeight="1" x14ac:dyDescent="0.25">
      <c r="A896" s="2">
        <f t="shared" si="64"/>
        <v>2023</v>
      </c>
      <c r="B896" s="2">
        <f t="shared" si="65"/>
        <v>3</v>
      </c>
      <c r="C896" s="2" t="str">
        <f t="shared" si="66"/>
        <v>월</v>
      </c>
      <c r="D896" s="3">
        <v>45005</v>
      </c>
      <c r="E896" s="7">
        <v>293</v>
      </c>
      <c r="F896" s="2" t="s">
        <v>12</v>
      </c>
      <c r="G896" s="1">
        <v>38</v>
      </c>
      <c r="H896" s="6">
        <f t="shared" si="68"/>
        <v>255</v>
      </c>
      <c r="I896" s="1">
        <f>+COUNTIF(F$3:$F896,F896)</f>
        <v>87</v>
      </c>
      <c r="K896" s="132" t="str">
        <f t="shared" si="67"/>
        <v>평일</v>
      </c>
    </row>
    <row r="897" spans="1:11" ht="21.75" customHeight="1" x14ac:dyDescent="0.25">
      <c r="A897" s="2">
        <f t="shared" si="64"/>
        <v>2023</v>
      </c>
      <c r="B897" s="2">
        <f t="shared" si="65"/>
        <v>3</v>
      </c>
      <c r="C897" s="2" t="str">
        <f t="shared" si="66"/>
        <v>화</v>
      </c>
      <c r="D897" s="3">
        <v>45006</v>
      </c>
      <c r="E897" s="7">
        <v>271</v>
      </c>
      <c r="F897" s="2" t="s">
        <v>12</v>
      </c>
      <c r="G897" s="1">
        <v>90</v>
      </c>
      <c r="H897" s="6">
        <f t="shared" si="68"/>
        <v>181</v>
      </c>
      <c r="I897" s="1">
        <f>+COUNTIF(F$3:$F897,F897)</f>
        <v>88</v>
      </c>
      <c r="K897" s="132" t="str">
        <f t="shared" si="67"/>
        <v>평일</v>
      </c>
    </row>
    <row r="898" spans="1:11" ht="21.75" customHeight="1" x14ac:dyDescent="0.25">
      <c r="A898" s="2">
        <f t="shared" si="64"/>
        <v>2023</v>
      </c>
      <c r="B898" s="2">
        <f t="shared" si="65"/>
        <v>3</v>
      </c>
      <c r="C898" s="2" t="str">
        <f t="shared" si="66"/>
        <v>수</v>
      </c>
      <c r="D898" s="3">
        <v>45007</v>
      </c>
      <c r="E898" s="7">
        <v>280</v>
      </c>
      <c r="F898" s="2" t="s">
        <v>12</v>
      </c>
      <c r="G898" s="1">
        <v>55</v>
      </c>
      <c r="H898" s="6">
        <f t="shared" si="68"/>
        <v>225</v>
      </c>
      <c r="I898" s="1">
        <f>+COUNTIF(F$3:$F898,F898)</f>
        <v>89</v>
      </c>
      <c r="K898" s="132" t="str">
        <f t="shared" si="67"/>
        <v>평일</v>
      </c>
    </row>
    <row r="899" spans="1:11" ht="21.75" customHeight="1" x14ac:dyDescent="0.25">
      <c r="A899" s="2">
        <f t="shared" si="64"/>
        <v>2023</v>
      </c>
      <c r="B899" s="2">
        <f t="shared" si="65"/>
        <v>3</v>
      </c>
      <c r="C899" s="2" t="str">
        <f t="shared" si="66"/>
        <v>목</v>
      </c>
      <c r="D899" s="3">
        <v>45008</v>
      </c>
      <c r="E899" s="7">
        <v>382</v>
      </c>
      <c r="F899" s="2" t="s">
        <v>12</v>
      </c>
      <c r="G899" s="1">
        <v>103</v>
      </c>
      <c r="H899" s="6">
        <f t="shared" si="68"/>
        <v>279</v>
      </c>
      <c r="I899" s="1">
        <f>+COUNTIF(F$3:$F899,F899)</f>
        <v>90</v>
      </c>
      <c r="K899" s="132" t="str">
        <f t="shared" si="67"/>
        <v>평일</v>
      </c>
    </row>
    <row r="900" spans="1:11" ht="21.75" customHeight="1" x14ac:dyDescent="0.25">
      <c r="A900" s="2">
        <f t="shared" ref="A900:A963" si="69">+YEAR(D900)</f>
        <v>2023</v>
      </c>
      <c r="B900" s="2">
        <f t="shared" ref="B900:B963" si="70">+MONTH(D900)</f>
        <v>3</v>
      </c>
      <c r="C900" s="2" t="str">
        <f t="shared" ref="C900:C963" si="71">+TEXT(D900,"aaa")</f>
        <v>금</v>
      </c>
      <c r="D900" s="3">
        <v>45009</v>
      </c>
      <c r="E900" s="7">
        <v>586</v>
      </c>
      <c r="F900" s="2" t="s">
        <v>12</v>
      </c>
      <c r="G900" s="1">
        <v>112</v>
      </c>
      <c r="H900" s="6">
        <f t="shared" si="68"/>
        <v>474</v>
      </c>
      <c r="I900" s="1">
        <f>+COUNTIF(F$3:$F900,F900)</f>
        <v>91</v>
      </c>
      <c r="K900" s="132" t="str">
        <f t="shared" ref="K900:K963" si="72">+IF(OR(C900="토",C900="일"),"주말","평일")</f>
        <v>평일</v>
      </c>
    </row>
    <row r="901" spans="1:11" ht="21.75" customHeight="1" x14ac:dyDescent="0.25">
      <c r="A901" s="2">
        <f t="shared" si="69"/>
        <v>2023</v>
      </c>
      <c r="B901" s="2">
        <f t="shared" si="70"/>
        <v>3</v>
      </c>
      <c r="C901" s="2" t="str">
        <f t="shared" si="71"/>
        <v>토</v>
      </c>
      <c r="D901" s="3">
        <v>45010</v>
      </c>
      <c r="E901" s="7">
        <v>1007</v>
      </c>
      <c r="F901" s="2" t="s">
        <v>12</v>
      </c>
      <c r="G901" s="1">
        <v>272</v>
      </c>
      <c r="H901" s="6">
        <f t="shared" si="68"/>
        <v>735</v>
      </c>
      <c r="I901" s="1">
        <f>+COUNTIF(F$3:$F901,F901)</f>
        <v>92</v>
      </c>
      <c r="K901" s="132" t="str">
        <f t="shared" si="72"/>
        <v>주말</v>
      </c>
    </row>
    <row r="902" spans="1:11" ht="21.75" customHeight="1" x14ac:dyDescent="0.25">
      <c r="A902" s="2">
        <f t="shared" si="69"/>
        <v>2023</v>
      </c>
      <c r="B902" s="2">
        <f t="shared" si="70"/>
        <v>3</v>
      </c>
      <c r="C902" s="2" t="str">
        <f t="shared" si="71"/>
        <v>일</v>
      </c>
      <c r="D902" s="3">
        <v>45011</v>
      </c>
      <c r="E902" s="7">
        <v>929</v>
      </c>
      <c r="F902" s="2" t="s">
        <v>12</v>
      </c>
      <c r="G902" s="1">
        <v>294</v>
      </c>
      <c r="H902" s="6">
        <f t="shared" si="68"/>
        <v>635</v>
      </c>
      <c r="I902" s="1">
        <f>+COUNTIF(F$3:$F902,F902)</f>
        <v>93</v>
      </c>
      <c r="K902" s="132" t="str">
        <f t="shared" si="72"/>
        <v>주말</v>
      </c>
    </row>
    <row r="903" spans="1:11" ht="21.75" customHeight="1" x14ac:dyDescent="0.25">
      <c r="A903" s="2">
        <f t="shared" si="69"/>
        <v>2023</v>
      </c>
      <c r="B903" s="2">
        <f t="shared" si="70"/>
        <v>3</v>
      </c>
      <c r="C903" s="2" t="str">
        <f t="shared" si="71"/>
        <v>월</v>
      </c>
      <c r="D903" s="3">
        <v>45012</v>
      </c>
      <c r="E903" s="7">
        <v>0</v>
      </c>
      <c r="F903" s="2">
        <v>0</v>
      </c>
      <c r="I903" s="1">
        <f>+COUNTIF(F$3:$F903,F903)</f>
        <v>229</v>
      </c>
      <c r="K903" s="132" t="str">
        <f t="shared" si="72"/>
        <v>평일</v>
      </c>
    </row>
    <row r="904" spans="1:11" ht="21.75" customHeight="1" x14ac:dyDescent="0.25">
      <c r="A904" s="2">
        <f t="shared" si="69"/>
        <v>2023</v>
      </c>
      <c r="B904" s="2">
        <f t="shared" si="70"/>
        <v>3</v>
      </c>
      <c r="C904" s="2" t="str">
        <f t="shared" si="71"/>
        <v>화</v>
      </c>
      <c r="D904" s="3">
        <v>45013</v>
      </c>
      <c r="E904" s="7">
        <v>0</v>
      </c>
      <c r="F904" s="2">
        <v>0</v>
      </c>
      <c r="I904" s="1">
        <f>+COUNTIF(F$3:$F904,F904)</f>
        <v>230</v>
      </c>
      <c r="K904" s="132" t="str">
        <f t="shared" si="72"/>
        <v>평일</v>
      </c>
    </row>
    <row r="905" spans="1:11" ht="21.75" customHeight="1" x14ac:dyDescent="0.25">
      <c r="A905" s="2">
        <f t="shared" si="69"/>
        <v>2023</v>
      </c>
      <c r="B905" s="2">
        <f t="shared" si="70"/>
        <v>3</v>
      </c>
      <c r="C905" s="2" t="str">
        <f t="shared" si="71"/>
        <v>수</v>
      </c>
      <c r="D905" s="3">
        <v>45014</v>
      </c>
      <c r="E905" s="7">
        <v>0</v>
      </c>
      <c r="F905" s="2">
        <v>0</v>
      </c>
      <c r="I905" s="1">
        <f>+COUNTIF(F$3:$F905,F905)</f>
        <v>231</v>
      </c>
      <c r="K905" s="132" t="str">
        <f t="shared" si="72"/>
        <v>평일</v>
      </c>
    </row>
    <row r="906" spans="1:11" ht="21.75" customHeight="1" x14ac:dyDescent="0.25">
      <c r="A906" s="2">
        <f t="shared" si="69"/>
        <v>2023</v>
      </c>
      <c r="B906" s="2">
        <f t="shared" si="70"/>
        <v>3</v>
      </c>
      <c r="C906" s="2" t="str">
        <f t="shared" si="71"/>
        <v>목</v>
      </c>
      <c r="D906" s="3">
        <v>45015</v>
      </c>
      <c r="E906" s="7">
        <v>0</v>
      </c>
      <c r="F906" s="2">
        <v>0</v>
      </c>
      <c r="I906" s="1">
        <f>+COUNTIF(F$3:$F906,F906)</f>
        <v>232</v>
      </c>
      <c r="K906" s="132" t="str">
        <f t="shared" si="72"/>
        <v>평일</v>
      </c>
    </row>
    <row r="907" spans="1:11" ht="21.75" customHeight="1" x14ac:dyDescent="0.25">
      <c r="A907" s="2">
        <f t="shared" si="69"/>
        <v>2023</v>
      </c>
      <c r="B907" s="2">
        <f t="shared" si="70"/>
        <v>3</v>
      </c>
      <c r="C907" s="2" t="str">
        <f t="shared" si="71"/>
        <v>금</v>
      </c>
      <c r="D907" s="3">
        <v>45016</v>
      </c>
      <c r="E907" s="7">
        <v>0</v>
      </c>
      <c r="F907" s="2">
        <v>0</v>
      </c>
      <c r="I907" s="1">
        <f>+COUNTIF(F$3:$F907,F907)</f>
        <v>233</v>
      </c>
      <c r="K907" s="132" t="str">
        <f t="shared" si="72"/>
        <v>평일</v>
      </c>
    </row>
    <row r="908" spans="1:11" ht="21.75" customHeight="1" x14ac:dyDescent="0.25">
      <c r="A908" s="2">
        <f t="shared" si="69"/>
        <v>2023</v>
      </c>
      <c r="B908" s="2">
        <f t="shared" si="70"/>
        <v>4</v>
      </c>
      <c r="C908" s="2" t="str">
        <f t="shared" si="71"/>
        <v>토</v>
      </c>
      <c r="D908" s="3">
        <v>45017</v>
      </c>
      <c r="E908" s="7">
        <v>0</v>
      </c>
      <c r="F908" s="2">
        <v>0</v>
      </c>
      <c r="I908" s="1">
        <f>+COUNTIF(F$3:$F908,F908)</f>
        <v>234</v>
      </c>
      <c r="K908" s="132" t="str">
        <f t="shared" si="72"/>
        <v>주말</v>
      </c>
    </row>
    <row r="909" spans="1:11" ht="21.75" customHeight="1" x14ac:dyDescent="0.25">
      <c r="A909" s="2">
        <f t="shared" si="69"/>
        <v>2023</v>
      </c>
      <c r="B909" s="2">
        <f t="shared" si="70"/>
        <v>4</v>
      </c>
      <c r="C909" s="2" t="str">
        <f t="shared" si="71"/>
        <v>일</v>
      </c>
      <c r="D909" s="3">
        <v>45018</v>
      </c>
      <c r="E909" s="7">
        <v>0</v>
      </c>
      <c r="F909" s="2">
        <v>0</v>
      </c>
      <c r="I909" s="1">
        <f>+COUNTIF(F$3:$F909,F909)</f>
        <v>235</v>
      </c>
      <c r="K909" s="132" t="str">
        <f t="shared" si="72"/>
        <v>주말</v>
      </c>
    </row>
    <row r="910" spans="1:11" ht="21.75" customHeight="1" x14ac:dyDescent="0.25">
      <c r="A910" s="2">
        <f t="shared" si="69"/>
        <v>2023</v>
      </c>
      <c r="B910" s="2">
        <f t="shared" si="70"/>
        <v>4</v>
      </c>
      <c r="C910" s="2" t="str">
        <f t="shared" si="71"/>
        <v>월</v>
      </c>
      <c r="D910" s="3">
        <v>45019</v>
      </c>
      <c r="E910" s="7">
        <v>0</v>
      </c>
      <c r="F910" s="2">
        <v>0</v>
      </c>
      <c r="I910" s="1">
        <f>+COUNTIF(F$3:$F910,F910)</f>
        <v>236</v>
      </c>
      <c r="K910" s="132" t="str">
        <f t="shared" si="72"/>
        <v>평일</v>
      </c>
    </row>
    <row r="911" spans="1:11" ht="21.75" customHeight="1" x14ac:dyDescent="0.25">
      <c r="A911" s="2">
        <f t="shared" si="69"/>
        <v>2023</v>
      </c>
      <c r="B911" s="2">
        <f t="shared" si="70"/>
        <v>4</v>
      </c>
      <c r="C911" s="2" t="str">
        <f t="shared" si="71"/>
        <v>화</v>
      </c>
      <c r="D911" s="3">
        <v>45020</v>
      </c>
      <c r="E911" s="7">
        <v>0</v>
      </c>
      <c r="F911" s="2">
        <v>0</v>
      </c>
      <c r="I911" s="1">
        <f>+COUNTIF(F$3:$F911,F911)</f>
        <v>237</v>
      </c>
      <c r="K911" s="132" t="str">
        <f t="shared" si="72"/>
        <v>평일</v>
      </c>
    </row>
    <row r="912" spans="1:11" ht="21.75" customHeight="1" x14ac:dyDescent="0.25">
      <c r="A912" s="2">
        <f t="shared" si="69"/>
        <v>2023</v>
      </c>
      <c r="B912" s="2">
        <f t="shared" si="70"/>
        <v>4</v>
      </c>
      <c r="C912" s="2" t="str">
        <f t="shared" si="71"/>
        <v>수</v>
      </c>
      <c r="D912" s="3">
        <v>45021</v>
      </c>
      <c r="E912" s="7">
        <v>0</v>
      </c>
      <c r="F912" s="2">
        <v>0</v>
      </c>
      <c r="I912" s="1">
        <f>+COUNTIF(F$3:$F912,F912)</f>
        <v>238</v>
      </c>
      <c r="K912" s="132" t="str">
        <f t="shared" si="72"/>
        <v>평일</v>
      </c>
    </row>
    <row r="913" spans="1:11" ht="21.75" customHeight="1" x14ac:dyDescent="0.25">
      <c r="A913" s="2">
        <f t="shared" si="69"/>
        <v>2023</v>
      </c>
      <c r="B913" s="2">
        <f t="shared" si="70"/>
        <v>4</v>
      </c>
      <c r="C913" s="2" t="str">
        <f t="shared" si="71"/>
        <v>목</v>
      </c>
      <c r="D913" s="3">
        <v>45022</v>
      </c>
      <c r="E913" s="7">
        <v>0</v>
      </c>
      <c r="F913" s="2">
        <v>0</v>
      </c>
      <c r="I913" s="1">
        <f>+COUNTIF(F$3:$F913,F913)</f>
        <v>239</v>
      </c>
      <c r="K913" s="132" t="str">
        <f t="shared" si="72"/>
        <v>평일</v>
      </c>
    </row>
    <row r="914" spans="1:11" ht="21.75" customHeight="1" x14ac:dyDescent="0.25">
      <c r="A914" s="2">
        <f t="shared" si="69"/>
        <v>2023</v>
      </c>
      <c r="B914" s="2">
        <f t="shared" si="70"/>
        <v>4</v>
      </c>
      <c r="C914" s="2" t="str">
        <f t="shared" si="71"/>
        <v>금</v>
      </c>
      <c r="D914" s="3">
        <v>45023</v>
      </c>
      <c r="E914" s="7">
        <v>0</v>
      </c>
      <c r="F914" s="2">
        <v>0</v>
      </c>
      <c r="I914" s="1">
        <f>+COUNTIF(F$3:$F914,F914)</f>
        <v>240</v>
      </c>
      <c r="K914" s="132" t="str">
        <f t="shared" si="72"/>
        <v>평일</v>
      </c>
    </row>
    <row r="915" spans="1:11" ht="21.75" customHeight="1" x14ac:dyDescent="0.25">
      <c r="A915" s="2">
        <f t="shared" si="69"/>
        <v>2023</v>
      </c>
      <c r="B915" s="2">
        <f t="shared" si="70"/>
        <v>4</v>
      </c>
      <c r="C915" s="2" t="str">
        <f t="shared" si="71"/>
        <v>토</v>
      </c>
      <c r="D915" s="3">
        <v>45024</v>
      </c>
      <c r="E915" s="7">
        <v>0</v>
      </c>
      <c r="F915" s="2">
        <v>0</v>
      </c>
      <c r="I915" s="1">
        <f>+COUNTIF(F$3:$F915,F915)</f>
        <v>241</v>
      </c>
      <c r="K915" s="132" t="str">
        <f t="shared" si="72"/>
        <v>주말</v>
      </c>
    </row>
    <row r="916" spans="1:11" ht="21.75" customHeight="1" x14ac:dyDescent="0.25">
      <c r="A916" s="2">
        <f t="shared" si="69"/>
        <v>2023</v>
      </c>
      <c r="B916" s="2">
        <f t="shared" si="70"/>
        <v>4</v>
      </c>
      <c r="C916" s="2" t="str">
        <f t="shared" si="71"/>
        <v>일</v>
      </c>
      <c r="D916" s="3">
        <v>45025</v>
      </c>
      <c r="E916" s="7">
        <v>0</v>
      </c>
      <c r="F916" s="2">
        <v>0</v>
      </c>
      <c r="I916" s="1">
        <f>+COUNTIF(F$3:$F916,F916)</f>
        <v>242</v>
      </c>
      <c r="K916" s="132" t="str">
        <f t="shared" si="72"/>
        <v>주말</v>
      </c>
    </row>
    <row r="917" spans="1:11" ht="21.75" customHeight="1" x14ac:dyDescent="0.25">
      <c r="A917" s="2">
        <f t="shared" si="69"/>
        <v>2023</v>
      </c>
      <c r="B917" s="2">
        <f t="shared" si="70"/>
        <v>4</v>
      </c>
      <c r="C917" s="2" t="str">
        <f t="shared" si="71"/>
        <v>월</v>
      </c>
      <c r="D917" s="3">
        <v>45026</v>
      </c>
      <c r="E917" s="7">
        <v>0</v>
      </c>
      <c r="F917" s="2">
        <v>0</v>
      </c>
      <c r="I917" s="1">
        <f>+COUNTIF(F$3:$F917,F917)</f>
        <v>243</v>
      </c>
      <c r="K917" s="132" t="str">
        <f t="shared" si="72"/>
        <v>평일</v>
      </c>
    </row>
    <row r="918" spans="1:11" ht="21.75" customHeight="1" x14ac:dyDescent="0.25">
      <c r="A918" s="2">
        <f t="shared" si="69"/>
        <v>2023</v>
      </c>
      <c r="B918" s="2">
        <f t="shared" si="70"/>
        <v>4</v>
      </c>
      <c r="C918" s="2" t="str">
        <f t="shared" si="71"/>
        <v>화</v>
      </c>
      <c r="D918" s="3">
        <v>45027</v>
      </c>
      <c r="E918" s="7">
        <v>0</v>
      </c>
      <c r="F918" s="2">
        <v>0</v>
      </c>
      <c r="I918" s="1">
        <f>+COUNTIF(F$3:$F918,F918)</f>
        <v>244</v>
      </c>
      <c r="K918" s="132" t="str">
        <f t="shared" si="72"/>
        <v>평일</v>
      </c>
    </row>
    <row r="919" spans="1:11" ht="21.75" customHeight="1" x14ac:dyDescent="0.25">
      <c r="A919" s="2">
        <f t="shared" si="69"/>
        <v>2023</v>
      </c>
      <c r="B919" s="2">
        <f t="shared" si="70"/>
        <v>4</v>
      </c>
      <c r="C919" s="2" t="str">
        <f t="shared" si="71"/>
        <v>수</v>
      </c>
      <c r="D919" s="3">
        <v>45028</v>
      </c>
      <c r="E919" s="7">
        <v>0</v>
      </c>
      <c r="F919" s="2">
        <v>0</v>
      </c>
      <c r="I919" s="1">
        <f>+COUNTIF(F$3:$F919,F919)</f>
        <v>245</v>
      </c>
      <c r="K919" s="132" t="str">
        <f t="shared" si="72"/>
        <v>평일</v>
      </c>
    </row>
    <row r="920" spans="1:11" ht="21.75" customHeight="1" x14ac:dyDescent="0.25">
      <c r="A920" s="2">
        <f t="shared" si="69"/>
        <v>2023</v>
      </c>
      <c r="B920" s="2">
        <f t="shared" si="70"/>
        <v>4</v>
      </c>
      <c r="C920" s="2" t="str">
        <f t="shared" si="71"/>
        <v>목</v>
      </c>
      <c r="D920" s="3">
        <v>45029</v>
      </c>
      <c r="E920" s="7">
        <v>0</v>
      </c>
      <c r="F920" s="2">
        <v>0</v>
      </c>
      <c r="I920" s="1">
        <f>+COUNTIF(F$3:$F920,F920)</f>
        <v>246</v>
      </c>
      <c r="K920" s="132" t="str">
        <f t="shared" si="72"/>
        <v>평일</v>
      </c>
    </row>
    <row r="921" spans="1:11" ht="21.75" customHeight="1" x14ac:dyDescent="0.25">
      <c r="A921" s="2">
        <f t="shared" si="69"/>
        <v>2023</v>
      </c>
      <c r="B921" s="2">
        <f t="shared" si="70"/>
        <v>4</v>
      </c>
      <c r="C921" s="2" t="str">
        <f t="shared" si="71"/>
        <v>금</v>
      </c>
      <c r="D921" s="3">
        <v>45030</v>
      </c>
      <c r="E921" s="7">
        <v>0</v>
      </c>
      <c r="F921" s="2">
        <v>0</v>
      </c>
      <c r="I921" s="1">
        <f>+COUNTIF(F$3:$F921,F921)</f>
        <v>247</v>
      </c>
      <c r="K921" s="132" t="str">
        <f t="shared" si="72"/>
        <v>평일</v>
      </c>
    </row>
    <row r="922" spans="1:11" ht="21.75" customHeight="1" x14ac:dyDescent="0.25">
      <c r="A922" s="2">
        <f t="shared" si="69"/>
        <v>2023</v>
      </c>
      <c r="B922" s="2">
        <f t="shared" si="70"/>
        <v>4</v>
      </c>
      <c r="C922" s="2" t="str">
        <f t="shared" si="71"/>
        <v>토</v>
      </c>
      <c r="D922" s="3">
        <v>45031</v>
      </c>
      <c r="E922" s="7">
        <v>0</v>
      </c>
      <c r="F922" s="2">
        <v>0</v>
      </c>
      <c r="I922" s="1">
        <f>+COUNTIF(F$3:$F922,F922)</f>
        <v>248</v>
      </c>
      <c r="K922" s="132" t="str">
        <f t="shared" si="72"/>
        <v>주말</v>
      </c>
    </row>
    <row r="923" spans="1:11" ht="21.75" customHeight="1" x14ac:dyDescent="0.25">
      <c r="A923" s="2">
        <f t="shared" si="69"/>
        <v>2023</v>
      </c>
      <c r="B923" s="2">
        <f t="shared" si="70"/>
        <v>4</v>
      </c>
      <c r="C923" s="2" t="str">
        <f t="shared" si="71"/>
        <v>일</v>
      </c>
      <c r="D923" s="3">
        <v>45032</v>
      </c>
      <c r="E923" s="7">
        <v>0</v>
      </c>
      <c r="F923" s="2">
        <v>0</v>
      </c>
      <c r="I923" s="1">
        <f>+COUNTIF(F$3:$F923,F923)</f>
        <v>249</v>
      </c>
      <c r="K923" s="132" t="str">
        <f t="shared" si="72"/>
        <v>주말</v>
      </c>
    </row>
    <row r="924" spans="1:11" ht="21.75" customHeight="1" x14ac:dyDescent="0.25">
      <c r="A924" s="2">
        <f t="shared" si="69"/>
        <v>2023</v>
      </c>
      <c r="B924" s="2">
        <f t="shared" si="70"/>
        <v>4</v>
      </c>
      <c r="C924" s="2" t="str">
        <f t="shared" si="71"/>
        <v>월</v>
      </c>
      <c r="D924" s="3">
        <v>45033</v>
      </c>
      <c r="E924" s="7">
        <v>0</v>
      </c>
      <c r="F924" s="2">
        <v>0</v>
      </c>
      <c r="I924" s="1">
        <f>+COUNTIF(F$3:$F924,F924)</f>
        <v>250</v>
      </c>
      <c r="K924" s="132" t="str">
        <f t="shared" si="72"/>
        <v>평일</v>
      </c>
    </row>
    <row r="925" spans="1:11" ht="21.75" customHeight="1" x14ac:dyDescent="0.25">
      <c r="A925" s="2">
        <f t="shared" si="69"/>
        <v>2023</v>
      </c>
      <c r="B925" s="2">
        <f t="shared" si="70"/>
        <v>4</v>
      </c>
      <c r="C925" s="2" t="str">
        <f t="shared" si="71"/>
        <v>화</v>
      </c>
      <c r="D925" s="3">
        <v>45034</v>
      </c>
      <c r="E925" s="7">
        <v>0</v>
      </c>
      <c r="F925" s="2">
        <v>0</v>
      </c>
      <c r="I925" s="1">
        <f>+COUNTIF(F$3:$F925,F925)</f>
        <v>251</v>
      </c>
      <c r="K925" s="132" t="str">
        <f t="shared" si="72"/>
        <v>평일</v>
      </c>
    </row>
    <row r="926" spans="1:11" ht="21.75" customHeight="1" x14ac:dyDescent="0.25">
      <c r="A926" s="2">
        <f t="shared" si="69"/>
        <v>2023</v>
      </c>
      <c r="B926" s="2">
        <f t="shared" si="70"/>
        <v>4</v>
      </c>
      <c r="C926" s="2" t="str">
        <f t="shared" si="71"/>
        <v>수</v>
      </c>
      <c r="D926" s="3">
        <v>45035</v>
      </c>
      <c r="E926" s="7">
        <v>0</v>
      </c>
      <c r="F926" s="2">
        <v>0</v>
      </c>
      <c r="I926" s="1">
        <f>+COUNTIF(F$3:$F926,F926)</f>
        <v>252</v>
      </c>
      <c r="K926" s="132" t="str">
        <f t="shared" si="72"/>
        <v>평일</v>
      </c>
    </row>
    <row r="927" spans="1:11" ht="21.75" customHeight="1" x14ac:dyDescent="0.25">
      <c r="A927" s="2">
        <f t="shared" si="69"/>
        <v>2023</v>
      </c>
      <c r="B927" s="2">
        <f t="shared" si="70"/>
        <v>4</v>
      </c>
      <c r="C927" s="2" t="str">
        <f t="shared" si="71"/>
        <v>목</v>
      </c>
      <c r="D927" s="3">
        <v>45036</v>
      </c>
      <c r="E927" s="7">
        <v>0</v>
      </c>
      <c r="F927" s="2">
        <v>0</v>
      </c>
      <c r="I927" s="1">
        <f>+COUNTIF(F$3:$F927,F927)</f>
        <v>253</v>
      </c>
      <c r="K927" s="132" t="str">
        <f t="shared" si="72"/>
        <v>평일</v>
      </c>
    </row>
    <row r="928" spans="1:11" ht="21.75" customHeight="1" x14ac:dyDescent="0.25">
      <c r="A928" s="2">
        <f t="shared" si="69"/>
        <v>2023</v>
      </c>
      <c r="B928" s="2">
        <f t="shared" si="70"/>
        <v>4</v>
      </c>
      <c r="C928" s="2" t="str">
        <f t="shared" si="71"/>
        <v>금</v>
      </c>
      <c r="D928" s="3">
        <v>45037</v>
      </c>
      <c r="E928" s="7">
        <v>0</v>
      </c>
      <c r="F928" s="2">
        <v>0</v>
      </c>
      <c r="I928" s="1">
        <f>+COUNTIF(F$3:$F928,F928)</f>
        <v>254</v>
      </c>
      <c r="K928" s="132" t="str">
        <f t="shared" si="72"/>
        <v>평일</v>
      </c>
    </row>
    <row r="929" spans="1:11" ht="21.75" customHeight="1" x14ac:dyDescent="0.25">
      <c r="A929" s="2">
        <f t="shared" si="69"/>
        <v>2023</v>
      </c>
      <c r="B929" s="2">
        <f t="shared" si="70"/>
        <v>4</v>
      </c>
      <c r="C929" s="2" t="str">
        <f t="shared" si="71"/>
        <v>토</v>
      </c>
      <c r="D929" s="3">
        <v>45038</v>
      </c>
      <c r="E929" s="7">
        <v>0</v>
      </c>
      <c r="F929" s="2">
        <v>0</v>
      </c>
      <c r="I929" s="1">
        <f>+COUNTIF(F$3:$F929,F929)</f>
        <v>255</v>
      </c>
      <c r="K929" s="132" t="str">
        <f t="shared" si="72"/>
        <v>주말</v>
      </c>
    </row>
    <row r="930" spans="1:11" ht="21.75" customHeight="1" x14ac:dyDescent="0.25">
      <c r="A930" s="2">
        <f t="shared" si="69"/>
        <v>2023</v>
      </c>
      <c r="B930" s="2">
        <f t="shared" si="70"/>
        <v>4</v>
      </c>
      <c r="C930" s="2" t="str">
        <f t="shared" si="71"/>
        <v>일</v>
      </c>
      <c r="D930" s="3">
        <v>45039</v>
      </c>
      <c r="E930" s="7">
        <v>0</v>
      </c>
      <c r="F930" s="2">
        <v>0</v>
      </c>
      <c r="I930" s="1">
        <f>+COUNTIF(F$3:$F930,F930)</f>
        <v>256</v>
      </c>
      <c r="K930" s="132" t="str">
        <f t="shared" si="72"/>
        <v>주말</v>
      </c>
    </row>
    <row r="931" spans="1:11" ht="21.75" customHeight="1" x14ac:dyDescent="0.25">
      <c r="A931" s="2">
        <f t="shared" si="69"/>
        <v>2023</v>
      </c>
      <c r="B931" s="2">
        <f t="shared" si="70"/>
        <v>4</v>
      </c>
      <c r="C931" s="2" t="str">
        <f t="shared" si="71"/>
        <v>월</v>
      </c>
      <c r="D931" s="3">
        <v>45040</v>
      </c>
      <c r="E931" s="7">
        <v>0</v>
      </c>
      <c r="F931" s="2">
        <v>0</v>
      </c>
      <c r="I931" s="1">
        <f>+COUNTIF(F$3:$F931,F931)</f>
        <v>257</v>
      </c>
      <c r="K931" s="132" t="str">
        <f t="shared" si="72"/>
        <v>평일</v>
      </c>
    </row>
    <row r="932" spans="1:11" ht="21.75" customHeight="1" x14ac:dyDescent="0.25">
      <c r="A932" s="2">
        <f t="shared" si="69"/>
        <v>2023</v>
      </c>
      <c r="B932" s="2">
        <f t="shared" si="70"/>
        <v>4</v>
      </c>
      <c r="C932" s="2" t="str">
        <f t="shared" si="71"/>
        <v>화</v>
      </c>
      <c r="D932" s="3">
        <v>45041</v>
      </c>
      <c r="E932" s="7">
        <v>0</v>
      </c>
      <c r="F932" s="2">
        <v>0</v>
      </c>
      <c r="I932" s="1">
        <f>+COUNTIF(F$3:$F932,F932)</f>
        <v>258</v>
      </c>
      <c r="K932" s="132" t="str">
        <f t="shared" si="72"/>
        <v>평일</v>
      </c>
    </row>
    <row r="933" spans="1:11" ht="21.75" customHeight="1" x14ac:dyDescent="0.25">
      <c r="A933" s="2">
        <f t="shared" si="69"/>
        <v>2023</v>
      </c>
      <c r="B933" s="2">
        <f t="shared" si="70"/>
        <v>4</v>
      </c>
      <c r="C933" s="2" t="str">
        <f t="shared" si="71"/>
        <v>수</v>
      </c>
      <c r="D933" s="3">
        <v>45042</v>
      </c>
      <c r="E933" s="7">
        <v>0</v>
      </c>
      <c r="F933" s="2">
        <v>0</v>
      </c>
      <c r="I933" s="1">
        <f>+COUNTIF(F$3:$F933,F933)</f>
        <v>259</v>
      </c>
      <c r="K933" s="132" t="str">
        <f t="shared" si="72"/>
        <v>평일</v>
      </c>
    </row>
    <row r="934" spans="1:11" ht="21.75" customHeight="1" x14ac:dyDescent="0.25">
      <c r="A934" s="2">
        <f t="shared" si="69"/>
        <v>2023</v>
      </c>
      <c r="B934" s="2">
        <f t="shared" si="70"/>
        <v>4</v>
      </c>
      <c r="C934" s="2" t="str">
        <f t="shared" si="71"/>
        <v>목</v>
      </c>
      <c r="D934" s="3">
        <v>45043</v>
      </c>
      <c r="E934" s="7">
        <v>0</v>
      </c>
      <c r="F934" s="2">
        <v>0</v>
      </c>
      <c r="I934" s="1">
        <f>+COUNTIF(F$3:$F934,F934)</f>
        <v>260</v>
      </c>
      <c r="K934" s="132" t="str">
        <f t="shared" si="72"/>
        <v>평일</v>
      </c>
    </row>
    <row r="935" spans="1:11" ht="21.75" customHeight="1" x14ac:dyDescent="0.25">
      <c r="A935" s="2">
        <f t="shared" si="69"/>
        <v>2023</v>
      </c>
      <c r="B935" s="2">
        <f t="shared" si="70"/>
        <v>4</v>
      </c>
      <c r="C935" s="2" t="str">
        <f t="shared" si="71"/>
        <v>금</v>
      </c>
      <c r="D935" s="3">
        <v>45044</v>
      </c>
      <c r="E935" s="7">
        <v>0</v>
      </c>
      <c r="F935" s="2">
        <v>0</v>
      </c>
      <c r="I935" s="1">
        <f>+COUNTIF(F$3:$F935,F935)</f>
        <v>261</v>
      </c>
      <c r="K935" s="132" t="str">
        <f t="shared" si="72"/>
        <v>평일</v>
      </c>
    </row>
    <row r="936" spans="1:11" ht="21.75" customHeight="1" x14ac:dyDescent="0.25">
      <c r="A936" s="2">
        <f t="shared" si="69"/>
        <v>2023</v>
      </c>
      <c r="B936" s="2">
        <f t="shared" si="70"/>
        <v>4</v>
      </c>
      <c r="C936" s="2" t="str">
        <f t="shared" si="71"/>
        <v>토</v>
      </c>
      <c r="D936" s="3">
        <v>45045</v>
      </c>
      <c r="E936" s="7">
        <v>0</v>
      </c>
      <c r="F936" s="2">
        <v>0</v>
      </c>
      <c r="I936" s="1">
        <f>+COUNTIF(F$3:$F936,F936)</f>
        <v>262</v>
      </c>
      <c r="K936" s="132" t="str">
        <f t="shared" si="72"/>
        <v>주말</v>
      </c>
    </row>
    <row r="937" spans="1:11" ht="21.75" customHeight="1" x14ac:dyDescent="0.25">
      <c r="A937" s="2">
        <f t="shared" si="69"/>
        <v>2023</v>
      </c>
      <c r="B937" s="2">
        <f t="shared" si="70"/>
        <v>4</v>
      </c>
      <c r="C937" s="2" t="str">
        <f t="shared" si="71"/>
        <v>일</v>
      </c>
      <c r="D937" s="3">
        <v>45046</v>
      </c>
      <c r="E937" s="7">
        <v>0</v>
      </c>
      <c r="F937" s="2">
        <v>0</v>
      </c>
      <c r="I937" s="1">
        <f>+COUNTIF(F$3:$F937,F937)</f>
        <v>263</v>
      </c>
      <c r="K937" s="132" t="str">
        <f t="shared" si="72"/>
        <v>주말</v>
      </c>
    </row>
    <row r="938" spans="1:11" ht="21.75" customHeight="1" x14ac:dyDescent="0.25">
      <c r="A938" s="2">
        <f t="shared" si="69"/>
        <v>2023</v>
      </c>
      <c r="B938" s="2">
        <f t="shared" si="70"/>
        <v>5</v>
      </c>
      <c r="C938" s="2" t="str">
        <f t="shared" si="71"/>
        <v>월</v>
      </c>
      <c r="D938" s="3">
        <v>45047</v>
      </c>
      <c r="E938" s="7">
        <v>0</v>
      </c>
      <c r="F938" s="2">
        <v>0</v>
      </c>
      <c r="I938" s="1">
        <f>+COUNTIF(F$3:$F938,F938)</f>
        <v>264</v>
      </c>
      <c r="K938" s="132" t="str">
        <f t="shared" si="72"/>
        <v>평일</v>
      </c>
    </row>
    <row r="939" spans="1:11" ht="21.75" customHeight="1" x14ac:dyDescent="0.25">
      <c r="A939" s="2">
        <f t="shared" si="69"/>
        <v>2023</v>
      </c>
      <c r="B939" s="2">
        <f t="shared" si="70"/>
        <v>5</v>
      </c>
      <c r="C939" s="2" t="str">
        <f t="shared" si="71"/>
        <v>화</v>
      </c>
      <c r="D939" s="3">
        <v>45048</v>
      </c>
      <c r="E939" s="7">
        <v>0</v>
      </c>
      <c r="F939" s="2">
        <v>0</v>
      </c>
      <c r="I939" s="1">
        <f>+COUNTIF(F$3:$F939,F939)</f>
        <v>265</v>
      </c>
      <c r="K939" s="132" t="str">
        <f t="shared" si="72"/>
        <v>평일</v>
      </c>
    </row>
    <row r="940" spans="1:11" ht="21.75" customHeight="1" x14ac:dyDescent="0.25">
      <c r="A940" s="2">
        <f t="shared" si="69"/>
        <v>2023</v>
      </c>
      <c r="B940" s="2">
        <f t="shared" si="70"/>
        <v>5</v>
      </c>
      <c r="C940" s="2" t="str">
        <f t="shared" si="71"/>
        <v>수</v>
      </c>
      <c r="D940" s="3">
        <v>45049</v>
      </c>
      <c r="E940" s="7">
        <v>106</v>
      </c>
      <c r="F940" s="2" t="s">
        <v>13</v>
      </c>
      <c r="G940" s="1">
        <v>18</v>
      </c>
      <c r="H940" s="6">
        <f>+E940-G940</f>
        <v>88</v>
      </c>
      <c r="I940" s="1">
        <f>+COUNTIF(F$3:$F940,F940)</f>
        <v>1</v>
      </c>
      <c r="K940" s="132" t="str">
        <f t="shared" si="72"/>
        <v>평일</v>
      </c>
    </row>
    <row r="941" spans="1:11" ht="21.75" customHeight="1" x14ac:dyDescent="0.25">
      <c r="A941" s="2">
        <f t="shared" si="69"/>
        <v>2023</v>
      </c>
      <c r="B941" s="2">
        <f t="shared" si="70"/>
        <v>5</v>
      </c>
      <c r="C941" s="2" t="str">
        <f t="shared" si="71"/>
        <v>목</v>
      </c>
      <c r="D941" s="3">
        <v>45050</v>
      </c>
      <c r="E941" s="7">
        <v>107</v>
      </c>
      <c r="F941" s="2" t="s">
        <v>13</v>
      </c>
      <c r="G941" s="1">
        <v>8</v>
      </c>
      <c r="H941" s="6">
        <f t="shared" ref="H941:H1004" si="73">+E941-G941</f>
        <v>99</v>
      </c>
      <c r="I941" s="1">
        <f>+COUNTIF(F$3:$F941,F941)</f>
        <v>2</v>
      </c>
      <c r="K941" s="132" t="str">
        <f t="shared" si="72"/>
        <v>평일</v>
      </c>
    </row>
    <row r="942" spans="1:11" ht="21.75" customHeight="1" x14ac:dyDescent="0.25">
      <c r="A942" s="2">
        <f t="shared" si="69"/>
        <v>2023</v>
      </c>
      <c r="B942" s="2">
        <f t="shared" si="70"/>
        <v>5</v>
      </c>
      <c r="C942" s="2" t="str">
        <f t="shared" si="71"/>
        <v>금</v>
      </c>
      <c r="D942" s="3">
        <v>45051</v>
      </c>
      <c r="E942" s="7">
        <v>287</v>
      </c>
      <c r="F942" s="2" t="s">
        <v>13</v>
      </c>
      <c r="G942" s="1">
        <v>38</v>
      </c>
      <c r="H942" s="6">
        <f t="shared" si="73"/>
        <v>249</v>
      </c>
      <c r="I942" s="1">
        <f>+COUNTIF(F$3:$F942,F942)</f>
        <v>3</v>
      </c>
      <c r="K942" s="132" t="str">
        <f t="shared" si="72"/>
        <v>평일</v>
      </c>
    </row>
    <row r="943" spans="1:11" ht="21.75" customHeight="1" x14ac:dyDescent="0.25">
      <c r="A943" s="2">
        <f t="shared" si="69"/>
        <v>2023</v>
      </c>
      <c r="B943" s="2">
        <f t="shared" si="70"/>
        <v>5</v>
      </c>
      <c r="C943" s="2" t="str">
        <f t="shared" si="71"/>
        <v>토</v>
      </c>
      <c r="D943" s="3">
        <v>45052</v>
      </c>
      <c r="E943" s="7">
        <v>205</v>
      </c>
      <c r="F943" s="2" t="s">
        <v>13</v>
      </c>
      <c r="G943" s="1">
        <v>16</v>
      </c>
      <c r="H943" s="6">
        <f t="shared" si="73"/>
        <v>189</v>
      </c>
      <c r="I943" s="1">
        <f>+COUNTIF(F$3:$F943,F943)</f>
        <v>4</v>
      </c>
      <c r="K943" s="132" t="str">
        <f t="shared" si="72"/>
        <v>주말</v>
      </c>
    </row>
    <row r="944" spans="1:11" ht="21.75" customHeight="1" x14ac:dyDescent="0.25">
      <c r="A944" s="2">
        <f t="shared" si="69"/>
        <v>2023</v>
      </c>
      <c r="B944" s="2">
        <f t="shared" si="70"/>
        <v>5</v>
      </c>
      <c r="C944" s="2" t="str">
        <f t="shared" si="71"/>
        <v>일</v>
      </c>
      <c r="D944" s="3">
        <v>45053</v>
      </c>
      <c r="E944" s="7">
        <v>115</v>
      </c>
      <c r="F944" s="2" t="s">
        <v>13</v>
      </c>
      <c r="G944" s="1">
        <v>14</v>
      </c>
      <c r="H944" s="6">
        <f t="shared" si="73"/>
        <v>101</v>
      </c>
      <c r="I944" s="1">
        <f>+COUNTIF(F$3:$F944,F944)</f>
        <v>5</v>
      </c>
      <c r="K944" s="132" t="str">
        <f t="shared" si="72"/>
        <v>주말</v>
      </c>
    </row>
    <row r="945" spans="1:11" ht="21.75" customHeight="1" x14ac:dyDescent="0.25">
      <c r="A945" s="2">
        <f t="shared" si="69"/>
        <v>2023</v>
      </c>
      <c r="B945" s="2">
        <f t="shared" si="70"/>
        <v>5</v>
      </c>
      <c r="C945" s="2" t="str">
        <f t="shared" si="71"/>
        <v>월</v>
      </c>
      <c r="D945" s="3">
        <v>45054</v>
      </c>
      <c r="E945" s="7">
        <v>64</v>
      </c>
      <c r="F945" s="2" t="s">
        <v>13</v>
      </c>
      <c r="G945" s="1">
        <v>11</v>
      </c>
      <c r="H945" s="6">
        <f t="shared" si="73"/>
        <v>53</v>
      </c>
      <c r="I945" s="1">
        <f>+COUNTIF(F$3:$F945,F945)</f>
        <v>6</v>
      </c>
      <c r="K945" s="132" t="str">
        <f t="shared" si="72"/>
        <v>평일</v>
      </c>
    </row>
    <row r="946" spans="1:11" ht="21.75" customHeight="1" x14ac:dyDescent="0.25">
      <c r="A946" s="2">
        <f t="shared" si="69"/>
        <v>2023</v>
      </c>
      <c r="B946" s="2">
        <f t="shared" si="70"/>
        <v>5</v>
      </c>
      <c r="C946" s="2" t="str">
        <f t="shared" si="71"/>
        <v>화</v>
      </c>
      <c r="D946" s="3">
        <v>45055</v>
      </c>
      <c r="E946" s="7">
        <v>106</v>
      </c>
      <c r="F946" s="2" t="s">
        <v>13</v>
      </c>
      <c r="G946" s="1">
        <v>7</v>
      </c>
      <c r="H946" s="6">
        <f t="shared" si="73"/>
        <v>99</v>
      </c>
      <c r="I946" s="1">
        <f>+COUNTIF(F$3:$F946,F946)</f>
        <v>7</v>
      </c>
      <c r="K946" s="132" t="str">
        <f t="shared" si="72"/>
        <v>평일</v>
      </c>
    </row>
    <row r="947" spans="1:11" ht="21.75" customHeight="1" x14ac:dyDescent="0.25">
      <c r="A947" s="2">
        <f t="shared" si="69"/>
        <v>2023</v>
      </c>
      <c r="B947" s="2">
        <f t="shared" si="70"/>
        <v>5</v>
      </c>
      <c r="C947" s="2" t="str">
        <f t="shared" si="71"/>
        <v>수</v>
      </c>
      <c r="D947" s="3">
        <v>45056</v>
      </c>
      <c r="E947" s="7">
        <v>54</v>
      </c>
      <c r="F947" s="2" t="s">
        <v>13</v>
      </c>
      <c r="G947" s="1">
        <v>13</v>
      </c>
      <c r="H947" s="6">
        <f t="shared" si="73"/>
        <v>41</v>
      </c>
      <c r="I947" s="1">
        <f>+COUNTIF(F$3:$F947,F947)</f>
        <v>8</v>
      </c>
      <c r="K947" s="132" t="str">
        <f t="shared" si="72"/>
        <v>평일</v>
      </c>
    </row>
    <row r="948" spans="1:11" ht="21.75" customHeight="1" x14ac:dyDescent="0.25">
      <c r="A948" s="2">
        <f t="shared" si="69"/>
        <v>2023</v>
      </c>
      <c r="B948" s="2">
        <f t="shared" si="70"/>
        <v>5</v>
      </c>
      <c r="C948" s="2" t="str">
        <f t="shared" si="71"/>
        <v>목</v>
      </c>
      <c r="D948" s="3">
        <v>45057</v>
      </c>
      <c r="E948" s="7">
        <v>96</v>
      </c>
      <c r="F948" s="2" t="s">
        <v>13</v>
      </c>
      <c r="G948" s="1">
        <v>19</v>
      </c>
      <c r="H948" s="6">
        <f t="shared" si="73"/>
        <v>77</v>
      </c>
      <c r="I948" s="1">
        <f>+COUNTIF(F$3:$F948,F948)</f>
        <v>9</v>
      </c>
      <c r="K948" s="132" t="str">
        <f t="shared" si="72"/>
        <v>평일</v>
      </c>
    </row>
    <row r="949" spans="1:11" ht="21.75" customHeight="1" x14ac:dyDescent="0.25">
      <c r="A949" s="2">
        <f t="shared" si="69"/>
        <v>2023</v>
      </c>
      <c r="B949" s="2">
        <f t="shared" si="70"/>
        <v>5</v>
      </c>
      <c r="C949" s="2" t="str">
        <f t="shared" si="71"/>
        <v>금</v>
      </c>
      <c r="D949" s="3">
        <v>45058</v>
      </c>
      <c r="E949" s="7">
        <v>101</v>
      </c>
      <c r="F949" s="2" t="s">
        <v>13</v>
      </c>
      <c r="G949" s="1">
        <v>14</v>
      </c>
      <c r="H949" s="6">
        <f t="shared" si="73"/>
        <v>87</v>
      </c>
      <c r="I949" s="1">
        <f>+COUNTIF(F$3:$F949,F949)</f>
        <v>10</v>
      </c>
      <c r="K949" s="132" t="str">
        <f t="shared" si="72"/>
        <v>평일</v>
      </c>
    </row>
    <row r="950" spans="1:11" ht="21.75" customHeight="1" x14ac:dyDescent="0.25">
      <c r="A950" s="2">
        <f t="shared" si="69"/>
        <v>2023</v>
      </c>
      <c r="B950" s="2">
        <f t="shared" si="70"/>
        <v>5</v>
      </c>
      <c r="C950" s="2" t="str">
        <f t="shared" si="71"/>
        <v>토</v>
      </c>
      <c r="D950" s="3">
        <v>45059</v>
      </c>
      <c r="E950" s="7">
        <v>282</v>
      </c>
      <c r="F950" s="2" t="s">
        <v>13</v>
      </c>
      <c r="G950" s="1">
        <v>29</v>
      </c>
      <c r="H950" s="6">
        <f t="shared" si="73"/>
        <v>253</v>
      </c>
      <c r="I950" s="1">
        <f>+COUNTIF(F$3:$F950,F950)</f>
        <v>11</v>
      </c>
      <c r="K950" s="132" t="str">
        <f t="shared" si="72"/>
        <v>주말</v>
      </c>
    </row>
    <row r="951" spans="1:11" ht="21.75" customHeight="1" x14ac:dyDescent="0.25">
      <c r="A951" s="2">
        <f t="shared" si="69"/>
        <v>2023</v>
      </c>
      <c r="B951" s="2">
        <f t="shared" si="70"/>
        <v>5</v>
      </c>
      <c r="C951" s="2" t="str">
        <f t="shared" si="71"/>
        <v>일</v>
      </c>
      <c r="D951" s="3">
        <v>45060</v>
      </c>
      <c r="E951" s="7">
        <v>173</v>
      </c>
      <c r="F951" s="2" t="s">
        <v>13</v>
      </c>
      <c r="G951" s="1">
        <v>27</v>
      </c>
      <c r="H951" s="6">
        <f t="shared" si="73"/>
        <v>146</v>
      </c>
      <c r="I951" s="1">
        <f>+COUNTIF(F$3:$F951,F951)</f>
        <v>12</v>
      </c>
      <c r="K951" s="132" t="str">
        <f t="shared" si="72"/>
        <v>주말</v>
      </c>
    </row>
    <row r="952" spans="1:11" ht="21.75" customHeight="1" x14ac:dyDescent="0.25">
      <c r="A952" s="2">
        <f t="shared" si="69"/>
        <v>2023</v>
      </c>
      <c r="B952" s="2">
        <f t="shared" si="70"/>
        <v>5</v>
      </c>
      <c r="C952" s="2" t="str">
        <f t="shared" si="71"/>
        <v>월</v>
      </c>
      <c r="D952" s="3">
        <v>45061</v>
      </c>
      <c r="E952" s="7">
        <v>85</v>
      </c>
      <c r="F952" s="2" t="s">
        <v>13</v>
      </c>
      <c r="G952" s="1">
        <v>5</v>
      </c>
      <c r="H952" s="6">
        <f t="shared" si="73"/>
        <v>80</v>
      </c>
      <c r="I952" s="1">
        <f>+COUNTIF(F$3:$F952,F952)</f>
        <v>13</v>
      </c>
      <c r="K952" s="132" t="str">
        <f t="shared" si="72"/>
        <v>평일</v>
      </c>
    </row>
    <row r="953" spans="1:11" ht="21.75" customHeight="1" x14ac:dyDescent="0.25">
      <c r="A953" s="2">
        <f t="shared" si="69"/>
        <v>2023</v>
      </c>
      <c r="B953" s="2">
        <f t="shared" si="70"/>
        <v>5</v>
      </c>
      <c r="C953" s="2" t="str">
        <f t="shared" si="71"/>
        <v>화</v>
      </c>
      <c r="D953" s="3">
        <v>45062</v>
      </c>
      <c r="E953" s="7">
        <v>84</v>
      </c>
      <c r="F953" s="2" t="s">
        <v>13</v>
      </c>
      <c r="G953" s="1">
        <v>8</v>
      </c>
      <c r="H953" s="6">
        <f t="shared" si="73"/>
        <v>76</v>
      </c>
      <c r="I953" s="1">
        <f>+COUNTIF(F$3:$F953,F953)</f>
        <v>14</v>
      </c>
      <c r="K953" s="132" t="str">
        <f t="shared" si="72"/>
        <v>평일</v>
      </c>
    </row>
    <row r="954" spans="1:11" ht="21.75" customHeight="1" x14ac:dyDescent="0.25">
      <c r="A954" s="2">
        <f t="shared" si="69"/>
        <v>2023</v>
      </c>
      <c r="B954" s="2">
        <f t="shared" si="70"/>
        <v>5</v>
      </c>
      <c r="C954" s="2" t="str">
        <f t="shared" si="71"/>
        <v>수</v>
      </c>
      <c r="D954" s="3">
        <v>45063</v>
      </c>
      <c r="E954" s="7">
        <v>111</v>
      </c>
      <c r="F954" s="2" t="s">
        <v>13</v>
      </c>
      <c r="G954" s="1">
        <v>16</v>
      </c>
      <c r="H954" s="6">
        <f t="shared" si="73"/>
        <v>95</v>
      </c>
      <c r="I954" s="1">
        <f>+COUNTIF(F$3:$F954,F954)</f>
        <v>15</v>
      </c>
      <c r="K954" s="132" t="str">
        <f t="shared" si="72"/>
        <v>평일</v>
      </c>
    </row>
    <row r="955" spans="1:11" ht="21.75" customHeight="1" x14ac:dyDescent="0.25">
      <c r="A955" s="2">
        <f t="shared" si="69"/>
        <v>2023</v>
      </c>
      <c r="B955" s="2">
        <f t="shared" si="70"/>
        <v>5</v>
      </c>
      <c r="C955" s="2" t="str">
        <f t="shared" si="71"/>
        <v>목</v>
      </c>
      <c r="D955" s="3">
        <v>45064</v>
      </c>
      <c r="E955" s="7">
        <v>107</v>
      </c>
      <c r="F955" s="2" t="s">
        <v>13</v>
      </c>
      <c r="G955" s="1">
        <v>21</v>
      </c>
      <c r="H955" s="6">
        <f t="shared" si="73"/>
        <v>86</v>
      </c>
      <c r="I955" s="1">
        <f>+COUNTIF(F$3:$F955,F955)</f>
        <v>16</v>
      </c>
      <c r="K955" s="132" t="str">
        <f t="shared" si="72"/>
        <v>평일</v>
      </c>
    </row>
    <row r="956" spans="1:11" ht="21.75" customHeight="1" x14ac:dyDescent="0.25">
      <c r="A956" s="2">
        <f t="shared" si="69"/>
        <v>2023</v>
      </c>
      <c r="B956" s="2">
        <f t="shared" si="70"/>
        <v>5</v>
      </c>
      <c r="C956" s="2" t="str">
        <f t="shared" si="71"/>
        <v>금</v>
      </c>
      <c r="D956" s="3">
        <v>45065</v>
      </c>
      <c r="E956" s="7">
        <v>134</v>
      </c>
      <c r="F956" s="2" t="s">
        <v>13</v>
      </c>
      <c r="G956" s="1">
        <v>26</v>
      </c>
      <c r="H956" s="6">
        <f t="shared" si="73"/>
        <v>108</v>
      </c>
      <c r="I956" s="1">
        <f>+COUNTIF(F$3:$F956,F956)</f>
        <v>17</v>
      </c>
      <c r="K956" s="132" t="str">
        <f t="shared" si="72"/>
        <v>평일</v>
      </c>
    </row>
    <row r="957" spans="1:11" ht="21.75" customHeight="1" x14ac:dyDescent="0.25">
      <c r="A957" s="2">
        <f t="shared" si="69"/>
        <v>2023</v>
      </c>
      <c r="B957" s="2">
        <f t="shared" si="70"/>
        <v>5</v>
      </c>
      <c r="C957" s="2" t="str">
        <f t="shared" si="71"/>
        <v>토</v>
      </c>
      <c r="D957" s="3">
        <v>45066</v>
      </c>
      <c r="E957" s="7">
        <v>213</v>
      </c>
      <c r="F957" s="2" t="s">
        <v>13</v>
      </c>
      <c r="G957" s="1">
        <v>41</v>
      </c>
      <c r="H957" s="6">
        <f t="shared" si="73"/>
        <v>172</v>
      </c>
      <c r="I957" s="1">
        <f>+COUNTIF(F$3:$F957,F957)</f>
        <v>18</v>
      </c>
      <c r="K957" s="132" t="str">
        <f t="shared" si="72"/>
        <v>주말</v>
      </c>
    </row>
    <row r="958" spans="1:11" ht="21.75" customHeight="1" x14ac:dyDescent="0.25">
      <c r="A958" s="2">
        <f t="shared" si="69"/>
        <v>2023</v>
      </c>
      <c r="B958" s="2">
        <f t="shared" si="70"/>
        <v>5</v>
      </c>
      <c r="C958" s="2" t="str">
        <f t="shared" si="71"/>
        <v>일</v>
      </c>
      <c r="D958" s="3">
        <v>45067</v>
      </c>
      <c r="E958" s="7">
        <v>184</v>
      </c>
      <c r="F958" s="2" t="s">
        <v>13</v>
      </c>
      <c r="G958" s="1">
        <v>34</v>
      </c>
      <c r="H958" s="6">
        <f t="shared" si="73"/>
        <v>150</v>
      </c>
      <c r="I958" s="1">
        <f>+COUNTIF(F$3:$F958,F958)</f>
        <v>19</v>
      </c>
      <c r="K958" s="132" t="str">
        <f t="shared" si="72"/>
        <v>주말</v>
      </c>
    </row>
    <row r="959" spans="1:11" ht="21.75" customHeight="1" x14ac:dyDescent="0.25">
      <c r="A959" s="2">
        <f t="shared" si="69"/>
        <v>2023</v>
      </c>
      <c r="B959" s="2">
        <f t="shared" si="70"/>
        <v>5</v>
      </c>
      <c r="C959" s="2" t="str">
        <f t="shared" si="71"/>
        <v>월</v>
      </c>
      <c r="D959" s="3">
        <v>45068</v>
      </c>
      <c r="E959" s="7">
        <v>59</v>
      </c>
      <c r="F959" s="2" t="s">
        <v>13</v>
      </c>
      <c r="G959" s="1">
        <v>59</v>
      </c>
      <c r="H959" s="6">
        <f t="shared" si="73"/>
        <v>0</v>
      </c>
      <c r="I959" s="1">
        <f>+COUNTIF(F$3:$F959,F959)</f>
        <v>20</v>
      </c>
      <c r="K959" s="132" t="str">
        <f t="shared" si="72"/>
        <v>평일</v>
      </c>
    </row>
    <row r="960" spans="1:11" ht="21.75" customHeight="1" x14ac:dyDescent="0.25">
      <c r="A960" s="2">
        <f t="shared" si="69"/>
        <v>2023</v>
      </c>
      <c r="B960" s="2">
        <f t="shared" si="70"/>
        <v>5</v>
      </c>
      <c r="C960" s="2" t="str">
        <f t="shared" si="71"/>
        <v>화</v>
      </c>
      <c r="D960" s="3">
        <v>45069</v>
      </c>
      <c r="E960" s="7">
        <v>100</v>
      </c>
      <c r="F960" s="2" t="s">
        <v>13</v>
      </c>
      <c r="G960" s="1">
        <v>28</v>
      </c>
      <c r="H960" s="6">
        <f t="shared" si="73"/>
        <v>72</v>
      </c>
      <c r="I960" s="1">
        <f>+COUNTIF(F$3:$F960,F960)</f>
        <v>21</v>
      </c>
      <c r="K960" s="132" t="str">
        <f t="shared" si="72"/>
        <v>평일</v>
      </c>
    </row>
    <row r="961" spans="1:11" ht="21.75" customHeight="1" x14ac:dyDescent="0.25">
      <c r="A961" s="2">
        <f t="shared" si="69"/>
        <v>2023</v>
      </c>
      <c r="B961" s="2">
        <f t="shared" si="70"/>
        <v>5</v>
      </c>
      <c r="C961" s="2" t="str">
        <f t="shared" si="71"/>
        <v>수</v>
      </c>
      <c r="D961" s="3">
        <v>45070</v>
      </c>
      <c r="E961" s="7">
        <v>73</v>
      </c>
      <c r="F961" s="2" t="s">
        <v>13</v>
      </c>
      <c r="G961" s="1">
        <v>18</v>
      </c>
      <c r="H961" s="6">
        <f t="shared" si="73"/>
        <v>55</v>
      </c>
      <c r="I961" s="1">
        <f>+COUNTIF(F$3:$F961,F961)</f>
        <v>22</v>
      </c>
      <c r="K961" s="132" t="str">
        <f t="shared" si="72"/>
        <v>평일</v>
      </c>
    </row>
    <row r="962" spans="1:11" ht="21.75" customHeight="1" x14ac:dyDescent="0.25">
      <c r="A962" s="2">
        <f t="shared" si="69"/>
        <v>2023</v>
      </c>
      <c r="B962" s="2">
        <f t="shared" si="70"/>
        <v>5</v>
      </c>
      <c r="C962" s="2" t="str">
        <f t="shared" si="71"/>
        <v>목</v>
      </c>
      <c r="D962" s="3">
        <v>45071</v>
      </c>
      <c r="E962" s="7">
        <v>97</v>
      </c>
      <c r="F962" s="2" t="s">
        <v>13</v>
      </c>
      <c r="G962" s="1">
        <v>14</v>
      </c>
      <c r="H962" s="6">
        <f t="shared" si="73"/>
        <v>83</v>
      </c>
      <c r="I962" s="1">
        <f>+COUNTIF(F$3:$F962,F962)</f>
        <v>23</v>
      </c>
      <c r="K962" s="132" t="str">
        <f t="shared" si="72"/>
        <v>평일</v>
      </c>
    </row>
    <row r="963" spans="1:11" ht="21.75" customHeight="1" x14ac:dyDescent="0.25">
      <c r="A963" s="2">
        <f t="shared" si="69"/>
        <v>2023</v>
      </c>
      <c r="B963" s="2">
        <f t="shared" si="70"/>
        <v>5</v>
      </c>
      <c r="C963" s="2" t="str">
        <f t="shared" si="71"/>
        <v>금</v>
      </c>
      <c r="D963" s="3">
        <v>45072</v>
      </c>
      <c r="E963" s="7">
        <v>112</v>
      </c>
      <c r="F963" s="2" t="s">
        <v>13</v>
      </c>
      <c r="G963" s="1">
        <v>25</v>
      </c>
      <c r="H963" s="6">
        <f t="shared" si="73"/>
        <v>87</v>
      </c>
      <c r="I963" s="1">
        <f>+COUNTIF(F$3:$F963,F963)</f>
        <v>24</v>
      </c>
      <c r="K963" s="132" t="str">
        <f t="shared" si="72"/>
        <v>평일</v>
      </c>
    </row>
    <row r="964" spans="1:11" ht="21.75" customHeight="1" x14ac:dyDescent="0.25">
      <c r="A964" s="2">
        <f t="shared" ref="A964:A1027" si="74">+YEAR(D964)</f>
        <v>2023</v>
      </c>
      <c r="B964" s="2">
        <f t="shared" ref="B964:B1027" si="75">+MONTH(D964)</f>
        <v>5</v>
      </c>
      <c r="C964" s="2" t="str">
        <f t="shared" ref="C964:C1027" si="76">+TEXT(D964,"aaa")</f>
        <v>토</v>
      </c>
      <c r="D964" s="3">
        <v>45073</v>
      </c>
      <c r="E964" s="7">
        <v>266</v>
      </c>
      <c r="F964" s="2" t="s">
        <v>13</v>
      </c>
      <c r="G964" s="1">
        <v>54</v>
      </c>
      <c r="H964" s="6">
        <f t="shared" si="73"/>
        <v>212</v>
      </c>
      <c r="I964" s="1">
        <f>+COUNTIF(F$3:$F964,F964)</f>
        <v>25</v>
      </c>
      <c r="K964" s="132" t="str">
        <f t="shared" ref="K964:K1027" si="77">+IF(OR(C964="토",C964="일"),"주말","평일")</f>
        <v>주말</v>
      </c>
    </row>
    <row r="965" spans="1:11" ht="21.75" customHeight="1" x14ac:dyDescent="0.25">
      <c r="A965" s="2">
        <f t="shared" si="74"/>
        <v>2023</v>
      </c>
      <c r="B965" s="2">
        <f t="shared" si="75"/>
        <v>5</v>
      </c>
      <c r="C965" s="2" t="str">
        <f t="shared" si="76"/>
        <v>일</v>
      </c>
      <c r="D965" s="3">
        <v>45074</v>
      </c>
      <c r="E965" s="7">
        <v>204</v>
      </c>
      <c r="F965" s="2" t="s">
        <v>13</v>
      </c>
      <c r="G965" s="1">
        <v>45</v>
      </c>
      <c r="H965" s="6">
        <f t="shared" si="73"/>
        <v>159</v>
      </c>
      <c r="I965" s="1">
        <f>+COUNTIF(F$3:$F965,F965)</f>
        <v>26</v>
      </c>
      <c r="K965" s="132" t="str">
        <f t="shared" si="77"/>
        <v>주말</v>
      </c>
    </row>
    <row r="966" spans="1:11" ht="21.75" customHeight="1" x14ac:dyDescent="0.25">
      <c r="A966" s="2">
        <f t="shared" si="74"/>
        <v>2023</v>
      </c>
      <c r="B966" s="2">
        <f t="shared" si="75"/>
        <v>5</v>
      </c>
      <c r="C966" s="2" t="str">
        <f t="shared" si="76"/>
        <v>월</v>
      </c>
      <c r="D966" s="3">
        <v>45075</v>
      </c>
      <c r="E966" s="7">
        <v>200</v>
      </c>
      <c r="F966" s="2" t="s">
        <v>13</v>
      </c>
      <c r="G966" s="1">
        <v>40</v>
      </c>
      <c r="H966" s="6">
        <f t="shared" si="73"/>
        <v>160</v>
      </c>
      <c r="I966" s="1">
        <f>+COUNTIF(F$3:$F966,F966)</f>
        <v>27</v>
      </c>
      <c r="K966" s="132" t="str">
        <f t="shared" si="77"/>
        <v>평일</v>
      </c>
    </row>
    <row r="967" spans="1:11" ht="21.75" customHeight="1" x14ac:dyDescent="0.25">
      <c r="A967" s="2">
        <f t="shared" si="74"/>
        <v>2023</v>
      </c>
      <c r="B967" s="2">
        <f t="shared" si="75"/>
        <v>5</v>
      </c>
      <c r="C967" s="2" t="str">
        <f t="shared" si="76"/>
        <v>화</v>
      </c>
      <c r="D967" s="3">
        <v>45076</v>
      </c>
      <c r="E967" s="7">
        <v>68</v>
      </c>
      <c r="F967" s="2" t="s">
        <v>13</v>
      </c>
      <c r="G967" s="1">
        <v>17</v>
      </c>
      <c r="H967" s="6">
        <f t="shared" si="73"/>
        <v>51</v>
      </c>
      <c r="I967" s="1">
        <f>+COUNTIF(F$3:$F967,F967)</f>
        <v>28</v>
      </c>
      <c r="K967" s="132" t="str">
        <f t="shared" si="77"/>
        <v>평일</v>
      </c>
    </row>
    <row r="968" spans="1:11" ht="21.75" customHeight="1" x14ac:dyDescent="0.25">
      <c r="A968" s="2">
        <f t="shared" si="74"/>
        <v>2023</v>
      </c>
      <c r="B968" s="2">
        <f t="shared" si="75"/>
        <v>5</v>
      </c>
      <c r="C968" s="2" t="str">
        <f t="shared" si="76"/>
        <v>수</v>
      </c>
      <c r="D968" s="3">
        <v>45077</v>
      </c>
      <c r="E968" s="7">
        <v>128</v>
      </c>
      <c r="F968" s="2" t="s">
        <v>13</v>
      </c>
      <c r="G968" s="1">
        <v>9</v>
      </c>
      <c r="H968" s="6">
        <f t="shared" si="73"/>
        <v>119</v>
      </c>
      <c r="I968" s="1">
        <f>+COUNTIF(F$3:$F968,F968)</f>
        <v>29</v>
      </c>
      <c r="K968" s="132" t="str">
        <f t="shared" si="77"/>
        <v>평일</v>
      </c>
    </row>
    <row r="969" spans="1:11" ht="21.75" customHeight="1" x14ac:dyDescent="0.25">
      <c r="A969" s="2">
        <f t="shared" si="74"/>
        <v>2023</v>
      </c>
      <c r="B969" s="2">
        <f t="shared" si="75"/>
        <v>6</v>
      </c>
      <c r="C969" s="2" t="str">
        <f t="shared" si="76"/>
        <v>목</v>
      </c>
      <c r="D969" s="3">
        <v>45078</v>
      </c>
      <c r="E969" s="7">
        <v>54</v>
      </c>
      <c r="F969" s="2" t="s">
        <v>13</v>
      </c>
      <c r="G969" s="1">
        <v>7</v>
      </c>
      <c r="H969" s="6">
        <f t="shared" si="73"/>
        <v>47</v>
      </c>
      <c r="I969" s="1">
        <f>+COUNTIF(F$3:$F969,F969)</f>
        <v>30</v>
      </c>
      <c r="K969" s="132" t="str">
        <f t="shared" si="77"/>
        <v>평일</v>
      </c>
    </row>
    <row r="970" spans="1:11" ht="21.75" customHeight="1" x14ac:dyDescent="0.25">
      <c r="A970" s="2">
        <f t="shared" si="74"/>
        <v>2023</v>
      </c>
      <c r="B970" s="2">
        <f t="shared" si="75"/>
        <v>6</v>
      </c>
      <c r="C970" s="2" t="str">
        <f t="shared" si="76"/>
        <v>금</v>
      </c>
      <c r="D970" s="3">
        <v>45079</v>
      </c>
      <c r="E970" s="7">
        <v>122</v>
      </c>
      <c r="F970" s="2" t="s">
        <v>13</v>
      </c>
      <c r="G970" s="1">
        <v>20</v>
      </c>
      <c r="H970" s="6">
        <f t="shared" si="73"/>
        <v>102</v>
      </c>
      <c r="I970" s="1">
        <f>+COUNTIF(F$3:$F970,F970)</f>
        <v>31</v>
      </c>
      <c r="K970" s="132" t="str">
        <f t="shared" si="77"/>
        <v>평일</v>
      </c>
    </row>
    <row r="971" spans="1:11" ht="21.75" customHeight="1" x14ac:dyDescent="0.25">
      <c r="A971" s="2">
        <f t="shared" si="74"/>
        <v>2023</v>
      </c>
      <c r="B971" s="2">
        <f t="shared" si="75"/>
        <v>6</v>
      </c>
      <c r="C971" s="2" t="str">
        <f t="shared" si="76"/>
        <v>토</v>
      </c>
      <c r="D971" s="3">
        <v>45080</v>
      </c>
      <c r="E971" s="7">
        <v>157</v>
      </c>
      <c r="F971" s="2" t="s">
        <v>13</v>
      </c>
      <c r="G971" s="1">
        <v>29</v>
      </c>
      <c r="H971" s="6">
        <f t="shared" si="73"/>
        <v>128</v>
      </c>
      <c r="I971" s="1">
        <f>+COUNTIF(F$3:$F971,F971)</f>
        <v>32</v>
      </c>
      <c r="K971" s="132" t="str">
        <f t="shared" si="77"/>
        <v>주말</v>
      </c>
    </row>
    <row r="972" spans="1:11" ht="21.75" customHeight="1" x14ac:dyDescent="0.25">
      <c r="A972" s="2">
        <f t="shared" si="74"/>
        <v>2023</v>
      </c>
      <c r="B972" s="2">
        <f t="shared" si="75"/>
        <v>6</v>
      </c>
      <c r="C972" s="2" t="str">
        <f t="shared" si="76"/>
        <v>일</v>
      </c>
      <c r="D972" s="3">
        <v>45081</v>
      </c>
      <c r="E972" s="7">
        <v>164</v>
      </c>
      <c r="F972" s="2" t="s">
        <v>13</v>
      </c>
      <c r="G972" s="1">
        <v>26</v>
      </c>
      <c r="H972" s="6">
        <f t="shared" si="73"/>
        <v>138</v>
      </c>
      <c r="I972" s="1">
        <f>+COUNTIF(F$3:$F972,F972)</f>
        <v>33</v>
      </c>
      <c r="K972" s="132" t="str">
        <f t="shared" si="77"/>
        <v>주말</v>
      </c>
    </row>
    <row r="973" spans="1:11" ht="21.75" customHeight="1" x14ac:dyDescent="0.25">
      <c r="A973" s="2">
        <f t="shared" si="74"/>
        <v>2023</v>
      </c>
      <c r="B973" s="2">
        <f t="shared" si="75"/>
        <v>6</v>
      </c>
      <c r="C973" s="2" t="str">
        <f t="shared" si="76"/>
        <v>월</v>
      </c>
      <c r="D973" s="3">
        <v>45082</v>
      </c>
      <c r="E973" s="7">
        <v>125</v>
      </c>
      <c r="F973" s="2" t="s">
        <v>13</v>
      </c>
      <c r="G973" s="1">
        <v>22</v>
      </c>
      <c r="H973" s="6">
        <f t="shared" si="73"/>
        <v>103</v>
      </c>
      <c r="I973" s="1">
        <f>+COUNTIF(F$3:$F973,F973)</f>
        <v>34</v>
      </c>
      <c r="K973" s="132" t="str">
        <f t="shared" si="77"/>
        <v>평일</v>
      </c>
    </row>
    <row r="974" spans="1:11" ht="21.75" customHeight="1" x14ac:dyDescent="0.25">
      <c r="A974" s="2">
        <f t="shared" si="74"/>
        <v>2023</v>
      </c>
      <c r="B974" s="2">
        <f t="shared" si="75"/>
        <v>6</v>
      </c>
      <c r="C974" s="2" t="str">
        <f t="shared" si="76"/>
        <v>화</v>
      </c>
      <c r="D974" s="3">
        <v>45083</v>
      </c>
      <c r="E974" s="7">
        <v>131</v>
      </c>
      <c r="F974" s="2" t="s">
        <v>13</v>
      </c>
      <c r="G974" s="1">
        <v>34</v>
      </c>
      <c r="H974" s="6">
        <f t="shared" si="73"/>
        <v>97</v>
      </c>
      <c r="I974" s="1">
        <f>+COUNTIF(F$3:$F974,F974)</f>
        <v>35</v>
      </c>
      <c r="K974" s="132" t="str">
        <f t="shared" si="77"/>
        <v>평일</v>
      </c>
    </row>
    <row r="975" spans="1:11" ht="21.75" customHeight="1" x14ac:dyDescent="0.25">
      <c r="A975" s="2">
        <f t="shared" si="74"/>
        <v>2023</v>
      </c>
      <c r="B975" s="2">
        <f t="shared" si="75"/>
        <v>6</v>
      </c>
      <c r="C975" s="2" t="str">
        <f t="shared" si="76"/>
        <v>수</v>
      </c>
      <c r="D975" s="3">
        <v>45084</v>
      </c>
      <c r="E975" s="7">
        <v>83</v>
      </c>
      <c r="F975" s="2" t="s">
        <v>13</v>
      </c>
      <c r="G975" s="1">
        <v>20</v>
      </c>
      <c r="H975" s="6">
        <f t="shared" si="73"/>
        <v>63</v>
      </c>
      <c r="I975" s="1">
        <f>+COUNTIF(F$3:$F975,F975)</f>
        <v>36</v>
      </c>
      <c r="K975" s="132" t="str">
        <f t="shared" si="77"/>
        <v>평일</v>
      </c>
    </row>
    <row r="976" spans="1:11" ht="21.75" customHeight="1" x14ac:dyDescent="0.25">
      <c r="A976" s="2">
        <f t="shared" si="74"/>
        <v>2023</v>
      </c>
      <c r="B976" s="2">
        <f t="shared" si="75"/>
        <v>6</v>
      </c>
      <c r="C976" s="2" t="str">
        <f t="shared" si="76"/>
        <v>목</v>
      </c>
      <c r="D976" s="3">
        <v>45085</v>
      </c>
      <c r="E976" s="7">
        <v>97</v>
      </c>
      <c r="F976" s="2" t="s">
        <v>13</v>
      </c>
      <c r="G976" s="1">
        <v>35</v>
      </c>
      <c r="H976" s="6">
        <f t="shared" si="73"/>
        <v>62</v>
      </c>
      <c r="I976" s="1">
        <f>+COUNTIF(F$3:$F976,F976)</f>
        <v>37</v>
      </c>
      <c r="K976" s="132" t="str">
        <f t="shared" si="77"/>
        <v>평일</v>
      </c>
    </row>
    <row r="977" spans="1:11" ht="21.75" customHeight="1" x14ac:dyDescent="0.25">
      <c r="A977" s="2">
        <f t="shared" si="74"/>
        <v>2023</v>
      </c>
      <c r="B977" s="2">
        <f t="shared" si="75"/>
        <v>6</v>
      </c>
      <c r="C977" s="2" t="str">
        <f t="shared" si="76"/>
        <v>금</v>
      </c>
      <c r="D977" s="3">
        <v>45086</v>
      </c>
      <c r="E977" s="7">
        <v>68</v>
      </c>
      <c r="F977" s="2" t="s">
        <v>13</v>
      </c>
      <c r="G977" s="1">
        <v>5</v>
      </c>
      <c r="H977" s="6">
        <f t="shared" si="73"/>
        <v>63</v>
      </c>
      <c r="I977" s="1">
        <f>+COUNTIF(F$3:$F977,F977)</f>
        <v>38</v>
      </c>
      <c r="K977" s="132" t="str">
        <f t="shared" si="77"/>
        <v>평일</v>
      </c>
    </row>
    <row r="978" spans="1:11" ht="21.75" customHeight="1" x14ac:dyDescent="0.25">
      <c r="A978" s="2">
        <f t="shared" si="74"/>
        <v>2023</v>
      </c>
      <c r="B978" s="2">
        <f t="shared" si="75"/>
        <v>6</v>
      </c>
      <c r="C978" s="2" t="str">
        <f t="shared" si="76"/>
        <v>토</v>
      </c>
      <c r="D978" s="3">
        <v>45087</v>
      </c>
      <c r="E978" s="7">
        <v>195</v>
      </c>
      <c r="F978" s="2" t="s">
        <v>13</v>
      </c>
      <c r="G978" s="1">
        <v>58</v>
      </c>
      <c r="H978" s="6">
        <f t="shared" si="73"/>
        <v>137</v>
      </c>
      <c r="I978" s="1">
        <f>+COUNTIF(F$3:$F978,F978)</f>
        <v>39</v>
      </c>
      <c r="K978" s="132" t="str">
        <f t="shared" si="77"/>
        <v>주말</v>
      </c>
    </row>
    <row r="979" spans="1:11" ht="21.75" customHeight="1" x14ac:dyDescent="0.25">
      <c r="A979" s="2">
        <f t="shared" si="74"/>
        <v>2023</v>
      </c>
      <c r="B979" s="2">
        <f t="shared" si="75"/>
        <v>6</v>
      </c>
      <c r="C979" s="2" t="str">
        <f t="shared" si="76"/>
        <v>일</v>
      </c>
      <c r="D979" s="3">
        <v>45088</v>
      </c>
      <c r="E979" s="7">
        <v>158</v>
      </c>
      <c r="F979" s="2" t="s">
        <v>13</v>
      </c>
      <c r="G979" s="1">
        <v>62</v>
      </c>
      <c r="H979" s="6">
        <f t="shared" si="73"/>
        <v>96</v>
      </c>
      <c r="I979" s="1">
        <f>+COUNTIF(F$3:$F979,F979)</f>
        <v>40</v>
      </c>
      <c r="K979" s="132" t="str">
        <f t="shared" si="77"/>
        <v>주말</v>
      </c>
    </row>
    <row r="980" spans="1:11" ht="21.75" customHeight="1" x14ac:dyDescent="0.25">
      <c r="A980" s="2">
        <f t="shared" si="74"/>
        <v>2023</v>
      </c>
      <c r="B980" s="2">
        <f t="shared" si="75"/>
        <v>6</v>
      </c>
      <c r="C980" s="2" t="str">
        <f t="shared" si="76"/>
        <v>월</v>
      </c>
      <c r="D980" s="3">
        <v>45089</v>
      </c>
      <c r="E980" s="7">
        <v>25</v>
      </c>
      <c r="F980" s="2" t="s">
        <v>13</v>
      </c>
      <c r="G980" s="1">
        <v>25</v>
      </c>
      <c r="H980" s="6">
        <f t="shared" si="73"/>
        <v>0</v>
      </c>
      <c r="I980" s="1">
        <f>+COUNTIF(F$3:$F980,F980)</f>
        <v>41</v>
      </c>
      <c r="K980" s="132" t="str">
        <f t="shared" si="77"/>
        <v>평일</v>
      </c>
    </row>
    <row r="981" spans="1:11" ht="21.75" customHeight="1" x14ac:dyDescent="0.25">
      <c r="A981" s="2">
        <f t="shared" si="74"/>
        <v>2023</v>
      </c>
      <c r="B981" s="2">
        <f t="shared" si="75"/>
        <v>6</v>
      </c>
      <c r="C981" s="2" t="str">
        <f t="shared" si="76"/>
        <v>화</v>
      </c>
      <c r="D981" s="3">
        <v>45090</v>
      </c>
      <c r="E981" s="7">
        <v>122</v>
      </c>
      <c r="F981" s="2" t="s">
        <v>13</v>
      </c>
      <c r="G981" s="1">
        <v>25</v>
      </c>
      <c r="H981" s="6">
        <f t="shared" si="73"/>
        <v>97</v>
      </c>
      <c r="I981" s="1">
        <f>+COUNTIF(F$3:$F981,F981)</f>
        <v>42</v>
      </c>
      <c r="K981" s="132" t="str">
        <f t="shared" si="77"/>
        <v>평일</v>
      </c>
    </row>
    <row r="982" spans="1:11" ht="21.75" customHeight="1" x14ac:dyDescent="0.25">
      <c r="A982" s="2">
        <f t="shared" si="74"/>
        <v>2023</v>
      </c>
      <c r="B982" s="2">
        <f t="shared" si="75"/>
        <v>6</v>
      </c>
      <c r="C982" s="2" t="str">
        <f t="shared" si="76"/>
        <v>수</v>
      </c>
      <c r="D982" s="3">
        <v>45091</v>
      </c>
      <c r="E982" s="7">
        <v>102</v>
      </c>
      <c r="F982" s="2" t="s">
        <v>13</v>
      </c>
      <c r="G982" s="1">
        <v>59</v>
      </c>
      <c r="H982" s="6">
        <f t="shared" si="73"/>
        <v>43</v>
      </c>
      <c r="I982" s="1">
        <f>+COUNTIF(F$3:$F982,F982)</f>
        <v>43</v>
      </c>
      <c r="K982" s="132" t="str">
        <f t="shared" si="77"/>
        <v>평일</v>
      </c>
    </row>
    <row r="983" spans="1:11" ht="21.75" customHeight="1" x14ac:dyDescent="0.25">
      <c r="A983" s="2">
        <f t="shared" si="74"/>
        <v>2023</v>
      </c>
      <c r="B983" s="2">
        <f t="shared" si="75"/>
        <v>6</v>
      </c>
      <c r="C983" s="2" t="str">
        <f t="shared" si="76"/>
        <v>목</v>
      </c>
      <c r="D983" s="3">
        <v>45092</v>
      </c>
      <c r="E983" s="7">
        <v>74</v>
      </c>
      <c r="F983" s="2" t="s">
        <v>13</v>
      </c>
      <c r="G983" s="1">
        <v>25</v>
      </c>
      <c r="H983" s="6">
        <f t="shared" si="73"/>
        <v>49</v>
      </c>
      <c r="I983" s="1">
        <f>+COUNTIF(F$3:$F983,F983)</f>
        <v>44</v>
      </c>
      <c r="K983" s="132" t="str">
        <f t="shared" si="77"/>
        <v>평일</v>
      </c>
    </row>
    <row r="984" spans="1:11" ht="21.75" customHeight="1" x14ac:dyDescent="0.25">
      <c r="A984" s="2">
        <f t="shared" si="74"/>
        <v>2023</v>
      </c>
      <c r="B984" s="2">
        <f t="shared" si="75"/>
        <v>6</v>
      </c>
      <c r="C984" s="2" t="str">
        <f t="shared" si="76"/>
        <v>금</v>
      </c>
      <c r="D984" s="3">
        <v>45093</v>
      </c>
      <c r="E984" s="7">
        <v>159</v>
      </c>
      <c r="F984" s="2" t="s">
        <v>13</v>
      </c>
      <c r="G984" s="1">
        <v>23</v>
      </c>
      <c r="H984" s="6">
        <f t="shared" si="73"/>
        <v>136</v>
      </c>
      <c r="I984" s="1">
        <f>+COUNTIF(F$3:$F984,F984)</f>
        <v>45</v>
      </c>
      <c r="K984" s="132" t="str">
        <f t="shared" si="77"/>
        <v>평일</v>
      </c>
    </row>
    <row r="985" spans="1:11" ht="21.75" customHeight="1" x14ac:dyDescent="0.25">
      <c r="A985" s="2">
        <f t="shared" si="74"/>
        <v>2023</v>
      </c>
      <c r="B985" s="2">
        <f t="shared" si="75"/>
        <v>6</v>
      </c>
      <c r="C985" s="2" t="str">
        <f t="shared" si="76"/>
        <v>토</v>
      </c>
      <c r="D985" s="3">
        <v>45094</v>
      </c>
      <c r="E985" s="7">
        <v>194</v>
      </c>
      <c r="F985" s="2" t="s">
        <v>13</v>
      </c>
      <c r="G985" s="1">
        <v>59</v>
      </c>
      <c r="H985" s="6">
        <f t="shared" si="73"/>
        <v>135</v>
      </c>
      <c r="I985" s="1">
        <f>+COUNTIF(F$3:$F985,F985)</f>
        <v>46</v>
      </c>
      <c r="K985" s="132" t="str">
        <f t="shared" si="77"/>
        <v>주말</v>
      </c>
    </row>
    <row r="986" spans="1:11" ht="21.75" customHeight="1" x14ac:dyDescent="0.25">
      <c r="A986" s="2">
        <f t="shared" si="74"/>
        <v>2023</v>
      </c>
      <c r="B986" s="2">
        <f t="shared" si="75"/>
        <v>6</v>
      </c>
      <c r="C986" s="2" t="str">
        <f t="shared" si="76"/>
        <v>일</v>
      </c>
      <c r="D986" s="3">
        <v>45095</v>
      </c>
      <c r="E986" s="7">
        <v>154</v>
      </c>
      <c r="F986" s="2" t="s">
        <v>13</v>
      </c>
      <c r="G986" s="1">
        <v>31</v>
      </c>
      <c r="H986" s="6">
        <f t="shared" si="73"/>
        <v>123</v>
      </c>
      <c r="I986" s="1">
        <f>+COUNTIF(F$3:$F986,F986)</f>
        <v>47</v>
      </c>
      <c r="K986" s="132" t="str">
        <f t="shared" si="77"/>
        <v>주말</v>
      </c>
    </row>
    <row r="987" spans="1:11" ht="21.75" customHeight="1" x14ac:dyDescent="0.25">
      <c r="A987" s="2">
        <f t="shared" si="74"/>
        <v>2023</v>
      </c>
      <c r="B987" s="2">
        <f t="shared" si="75"/>
        <v>6</v>
      </c>
      <c r="C987" s="2" t="str">
        <f t="shared" si="76"/>
        <v>월</v>
      </c>
      <c r="D987" s="3">
        <v>45096</v>
      </c>
      <c r="E987" s="7">
        <v>84</v>
      </c>
      <c r="F987" s="2" t="s">
        <v>13</v>
      </c>
      <c r="G987" s="1">
        <v>20</v>
      </c>
      <c r="H987" s="6">
        <f t="shared" si="73"/>
        <v>64</v>
      </c>
      <c r="I987" s="1">
        <f>+COUNTIF(F$3:$F987,F987)</f>
        <v>48</v>
      </c>
      <c r="K987" s="132" t="str">
        <f t="shared" si="77"/>
        <v>평일</v>
      </c>
    </row>
    <row r="988" spans="1:11" ht="21.75" customHeight="1" x14ac:dyDescent="0.25">
      <c r="A988" s="2">
        <f t="shared" si="74"/>
        <v>2023</v>
      </c>
      <c r="B988" s="2">
        <f t="shared" si="75"/>
        <v>6</v>
      </c>
      <c r="C988" s="2" t="str">
        <f t="shared" si="76"/>
        <v>화</v>
      </c>
      <c r="D988" s="3">
        <v>45097</v>
      </c>
      <c r="E988" s="7">
        <v>62</v>
      </c>
      <c r="F988" s="2" t="s">
        <v>13</v>
      </c>
      <c r="G988" s="1">
        <v>20</v>
      </c>
      <c r="H988" s="6">
        <f t="shared" si="73"/>
        <v>42</v>
      </c>
      <c r="I988" s="1">
        <f>+COUNTIF(F$3:$F988,F988)</f>
        <v>49</v>
      </c>
      <c r="K988" s="132" t="str">
        <f t="shared" si="77"/>
        <v>평일</v>
      </c>
    </row>
    <row r="989" spans="1:11" ht="21.75" customHeight="1" x14ac:dyDescent="0.25">
      <c r="A989" s="2">
        <f t="shared" si="74"/>
        <v>2023</v>
      </c>
      <c r="B989" s="2">
        <f t="shared" si="75"/>
        <v>6</v>
      </c>
      <c r="C989" s="2" t="str">
        <f t="shared" si="76"/>
        <v>수</v>
      </c>
      <c r="D989" s="3">
        <v>45098</v>
      </c>
      <c r="E989" s="7">
        <v>84</v>
      </c>
      <c r="F989" s="2" t="s">
        <v>13</v>
      </c>
      <c r="G989" s="1">
        <v>28</v>
      </c>
      <c r="H989" s="6">
        <f t="shared" si="73"/>
        <v>56</v>
      </c>
      <c r="I989" s="1">
        <f>+COUNTIF(F$3:$F989,F989)</f>
        <v>50</v>
      </c>
      <c r="K989" s="132" t="str">
        <f t="shared" si="77"/>
        <v>평일</v>
      </c>
    </row>
    <row r="990" spans="1:11" ht="21.75" customHeight="1" x14ac:dyDescent="0.25">
      <c r="A990" s="2">
        <f t="shared" si="74"/>
        <v>2023</v>
      </c>
      <c r="B990" s="2">
        <f t="shared" si="75"/>
        <v>6</v>
      </c>
      <c r="C990" s="2" t="str">
        <f t="shared" si="76"/>
        <v>목</v>
      </c>
      <c r="D990" s="3">
        <v>45099</v>
      </c>
      <c r="E990" s="7">
        <v>140</v>
      </c>
      <c r="F990" s="2" t="s">
        <v>13</v>
      </c>
      <c r="G990" s="1">
        <v>29</v>
      </c>
      <c r="H990" s="6">
        <f t="shared" si="73"/>
        <v>111</v>
      </c>
      <c r="I990" s="1">
        <f>+COUNTIF(F$3:$F990,F990)</f>
        <v>51</v>
      </c>
      <c r="K990" s="132" t="str">
        <f t="shared" si="77"/>
        <v>평일</v>
      </c>
    </row>
    <row r="991" spans="1:11" ht="21.75" customHeight="1" x14ac:dyDescent="0.25">
      <c r="A991" s="2">
        <f t="shared" si="74"/>
        <v>2023</v>
      </c>
      <c r="B991" s="2">
        <f t="shared" si="75"/>
        <v>6</v>
      </c>
      <c r="C991" s="2" t="str">
        <f t="shared" si="76"/>
        <v>금</v>
      </c>
      <c r="D991" s="3">
        <v>45100</v>
      </c>
      <c r="E991" s="7">
        <v>106</v>
      </c>
      <c r="F991" s="2" t="s">
        <v>13</v>
      </c>
      <c r="G991" s="1">
        <v>42</v>
      </c>
      <c r="H991" s="6">
        <f t="shared" si="73"/>
        <v>64</v>
      </c>
      <c r="I991" s="1">
        <f>+COUNTIF(F$3:$F991,F991)</f>
        <v>52</v>
      </c>
      <c r="K991" s="132" t="str">
        <f t="shared" si="77"/>
        <v>평일</v>
      </c>
    </row>
    <row r="992" spans="1:11" ht="21.75" customHeight="1" x14ac:dyDescent="0.25">
      <c r="A992" s="2">
        <f t="shared" si="74"/>
        <v>2023</v>
      </c>
      <c r="B992" s="2">
        <f t="shared" si="75"/>
        <v>6</v>
      </c>
      <c r="C992" s="2" t="str">
        <f t="shared" si="76"/>
        <v>토</v>
      </c>
      <c r="D992" s="3">
        <v>45101</v>
      </c>
      <c r="E992" s="7">
        <v>189</v>
      </c>
      <c r="F992" s="2" t="s">
        <v>13</v>
      </c>
      <c r="G992" s="1">
        <v>68</v>
      </c>
      <c r="H992" s="6">
        <f t="shared" si="73"/>
        <v>121</v>
      </c>
      <c r="I992" s="1">
        <f>+COUNTIF(F$3:$F992,F992)</f>
        <v>53</v>
      </c>
      <c r="K992" s="132" t="str">
        <f t="shared" si="77"/>
        <v>주말</v>
      </c>
    </row>
    <row r="993" spans="1:11" ht="21.75" customHeight="1" x14ac:dyDescent="0.25">
      <c r="A993" s="2">
        <f t="shared" si="74"/>
        <v>2023</v>
      </c>
      <c r="B993" s="2">
        <f t="shared" si="75"/>
        <v>6</v>
      </c>
      <c r="C993" s="2" t="str">
        <f t="shared" si="76"/>
        <v>일</v>
      </c>
      <c r="D993" s="3">
        <v>45102</v>
      </c>
      <c r="E993" s="7">
        <v>177</v>
      </c>
      <c r="F993" s="2" t="s">
        <v>13</v>
      </c>
      <c r="G993" s="1">
        <v>58</v>
      </c>
      <c r="H993" s="6">
        <f t="shared" si="73"/>
        <v>119</v>
      </c>
      <c r="I993" s="1">
        <f>+COUNTIF(F$3:$F993,F993)</f>
        <v>54</v>
      </c>
      <c r="K993" s="132" t="str">
        <f t="shared" si="77"/>
        <v>주말</v>
      </c>
    </row>
    <row r="994" spans="1:11" ht="21.75" customHeight="1" x14ac:dyDescent="0.25">
      <c r="A994" s="2">
        <f t="shared" si="74"/>
        <v>2023</v>
      </c>
      <c r="B994" s="2">
        <f t="shared" si="75"/>
        <v>6</v>
      </c>
      <c r="C994" s="2" t="str">
        <f t="shared" si="76"/>
        <v>월</v>
      </c>
      <c r="D994" s="3">
        <v>45103</v>
      </c>
      <c r="E994" s="7">
        <v>65</v>
      </c>
      <c r="F994" s="2" t="s">
        <v>13</v>
      </c>
      <c r="G994" s="1">
        <v>9</v>
      </c>
      <c r="H994" s="6">
        <f t="shared" si="73"/>
        <v>56</v>
      </c>
      <c r="I994" s="1">
        <f>+COUNTIF(F$3:$F994,F994)</f>
        <v>55</v>
      </c>
      <c r="K994" s="132" t="str">
        <f t="shared" si="77"/>
        <v>평일</v>
      </c>
    </row>
    <row r="995" spans="1:11" ht="21.75" customHeight="1" x14ac:dyDescent="0.25">
      <c r="A995" s="2">
        <f t="shared" si="74"/>
        <v>2023</v>
      </c>
      <c r="B995" s="2">
        <f t="shared" si="75"/>
        <v>6</v>
      </c>
      <c r="C995" s="2" t="str">
        <f t="shared" si="76"/>
        <v>화</v>
      </c>
      <c r="D995" s="3">
        <v>45104</v>
      </c>
      <c r="E995" s="7">
        <v>76</v>
      </c>
      <c r="F995" s="2" t="s">
        <v>13</v>
      </c>
      <c r="G995" s="1">
        <v>18</v>
      </c>
      <c r="H995" s="6">
        <f t="shared" si="73"/>
        <v>58</v>
      </c>
      <c r="I995" s="1">
        <f>+COUNTIF(F$3:$F995,F995)</f>
        <v>56</v>
      </c>
      <c r="K995" s="132" t="str">
        <f t="shared" si="77"/>
        <v>평일</v>
      </c>
    </row>
    <row r="996" spans="1:11" ht="21.75" customHeight="1" x14ac:dyDescent="0.25">
      <c r="A996" s="2">
        <f t="shared" si="74"/>
        <v>2023</v>
      </c>
      <c r="B996" s="2">
        <f t="shared" si="75"/>
        <v>6</v>
      </c>
      <c r="C996" s="2" t="str">
        <f t="shared" si="76"/>
        <v>수</v>
      </c>
      <c r="D996" s="3">
        <v>45105</v>
      </c>
      <c r="E996" s="7">
        <v>150</v>
      </c>
      <c r="F996" s="2" t="s">
        <v>13</v>
      </c>
      <c r="G996" s="1">
        <v>34</v>
      </c>
      <c r="H996" s="6">
        <f t="shared" si="73"/>
        <v>116</v>
      </c>
      <c r="I996" s="1">
        <f>+COUNTIF(F$3:$F996,F996)</f>
        <v>57</v>
      </c>
      <c r="K996" s="132" t="str">
        <f t="shared" si="77"/>
        <v>평일</v>
      </c>
    </row>
    <row r="997" spans="1:11" ht="21.75" customHeight="1" x14ac:dyDescent="0.25">
      <c r="A997" s="2">
        <f t="shared" si="74"/>
        <v>2023</v>
      </c>
      <c r="B997" s="2">
        <f t="shared" si="75"/>
        <v>6</v>
      </c>
      <c r="C997" s="2" t="str">
        <f t="shared" si="76"/>
        <v>목</v>
      </c>
      <c r="D997" s="3">
        <v>45106</v>
      </c>
      <c r="E997" s="7">
        <v>110</v>
      </c>
      <c r="F997" s="2" t="s">
        <v>13</v>
      </c>
      <c r="G997" s="1">
        <v>58</v>
      </c>
      <c r="H997" s="6">
        <f t="shared" si="73"/>
        <v>52</v>
      </c>
      <c r="I997" s="1">
        <f>+COUNTIF(F$3:$F997,F997)</f>
        <v>58</v>
      </c>
      <c r="K997" s="132" t="str">
        <f t="shared" si="77"/>
        <v>평일</v>
      </c>
    </row>
    <row r="998" spans="1:11" ht="21.75" customHeight="1" x14ac:dyDescent="0.25">
      <c r="A998" s="2">
        <f t="shared" si="74"/>
        <v>2023</v>
      </c>
      <c r="B998" s="2">
        <f t="shared" si="75"/>
        <v>6</v>
      </c>
      <c r="C998" s="2" t="str">
        <f t="shared" si="76"/>
        <v>금</v>
      </c>
      <c r="D998" s="3">
        <v>45107</v>
      </c>
      <c r="E998" s="7">
        <v>145</v>
      </c>
      <c r="F998" s="2" t="s">
        <v>13</v>
      </c>
      <c r="G998" s="1">
        <v>36</v>
      </c>
      <c r="H998" s="6">
        <f t="shared" si="73"/>
        <v>109</v>
      </c>
      <c r="I998" s="1">
        <f>+COUNTIF(F$3:$F998,F998)</f>
        <v>59</v>
      </c>
      <c r="K998" s="132" t="str">
        <f t="shared" si="77"/>
        <v>평일</v>
      </c>
    </row>
    <row r="999" spans="1:11" ht="21.75" customHeight="1" x14ac:dyDescent="0.25">
      <c r="A999" s="2">
        <f t="shared" si="74"/>
        <v>2023</v>
      </c>
      <c r="B999" s="2">
        <f t="shared" si="75"/>
        <v>7</v>
      </c>
      <c r="C999" s="2" t="str">
        <f t="shared" si="76"/>
        <v>토</v>
      </c>
      <c r="D999" s="3">
        <v>45108</v>
      </c>
      <c r="E999" s="7">
        <v>223</v>
      </c>
      <c r="F999" s="2" t="s">
        <v>13</v>
      </c>
      <c r="G999" s="1">
        <v>77</v>
      </c>
      <c r="H999" s="6">
        <f t="shared" si="73"/>
        <v>146</v>
      </c>
      <c r="I999" s="1">
        <f>+COUNTIF(F$3:$F999,F999)</f>
        <v>60</v>
      </c>
      <c r="K999" s="132" t="str">
        <f t="shared" si="77"/>
        <v>주말</v>
      </c>
    </row>
    <row r="1000" spans="1:11" ht="21.75" customHeight="1" x14ac:dyDescent="0.25">
      <c r="A1000" s="2">
        <f t="shared" si="74"/>
        <v>2023</v>
      </c>
      <c r="B1000" s="2">
        <f t="shared" si="75"/>
        <v>7</v>
      </c>
      <c r="C1000" s="2" t="str">
        <f t="shared" si="76"/>
        <v>일</v>
      </c>
      <c r="D1000" s="3">
        <v>45109</v>
      </c>
      <c r="E1000" s="7">
        <v>318</v>
      </c>
      <c r="F1000" s="2" t="s">
        <v>13</v>
      </c>
      <c r="G1000" s="1">
        <v>69</v>
      </c>
      <c r="H1000" s="6">
        <f t="shared" si="73"/>
        <v>249</v>
      </c>
      <c r="I1000" s="1">
        <f>+COUNTIF(F$3:$F1000,F1000)</f>
        <v>61</v>
      </c>
      <c r="K1000" s="132" t="str">
        <f t="shared" si="77"/>
        <v>주말</v>
      </c>
    </row>
    <row r="1001" spans="1:11" ht="21.75" customHeight="1" x14ac:dyDescent="0.25">
      <c r="A1001" s="2">
        <f t="shared" si="74"/>
        <v>2023</v>
      </c>
      <c r="B1001" s="2">
        <f t="shared" si="75"/>
        <v>7</v>
      </c>
      <c r="C1001" s="2" t="str">
        <f t="shared" si="76"/>
        <v>월</v>
      </c>
      <c r="D1001" s="3">
        <v>45110</v>
      </c>
      <c r="E1001" s="7">
        <v>140</v>
      </c>
      <c r="F1001" s="2" t="s">
        <v>13</v>
      </c>
      <c r="G1001" s="1">
        <v>49</v>
      </c>
      <c r="H1001" s="6">
        <f t="shared" si="73"/>
        <v>91</v>
      </c>
      <c r="I1001" s="1">
        <f>+COUNTIF(F$3:$F1001,F1001)</f>
        <v>62</v>
      </c>
      <c r="K1001" s="132" t="str">
        <f t="shared" si="77"/>
        <v>평일</v>
      </c>
    </row>
    <row r="1002" spans="1:11" ht="21.75" customHeight="1" x14ac:dyDescent="0.25">
      <c r="A1002" s="2">
        <f t="shared" si="74"/>
        <v>2023</v>
      </c>
      <c r="B1002" s="2">
        <f t="shared" si="75"/>
        <v>7</v>
      </c>
      <c r="C1002" s="2" t="str">
        <f t="shared" si="76"/>
        <v>화</v>
      </c>
      <c r="D1002" s="3">
        <v>45111</v>
      </c>
      <c r="E1002" s="7">
        <v>81</v>
      </c>
      <c r="F1002" s="2" t="s">
        <v>13</v>
      </c>
      <c r="G1002" s="1">
        <v>35</v>
      </c>
      <c r="H1002" s="6">
        <f t="shared" si="73"/>
        <v>46</v>
      </c>
      <c r="I1002" s="1">
        <f>+COUNTIF(F$3:$F1002,F1002)</f>
        <v>63</v>
      </c>
      <c r="K1002" s="132" t="str">
        <f t="shared" si="77"/>
        <v>평일</v>
      </c>
    </row>
    <row r="1003" spans="1:11" ht="21.75" customHeight="1" x14ac:dyDescent="0.25">
      <c r="A1003" s="2">
        <f t="shared" si="74"/>
        <v>2023</v>
      </c>
      <c r="B1003" s="2">
        <f t="shared" si="75"/>
        <v>7</v>
      </c>
      <c r="C1003" s="2" t="str">
        <f t="shared" si="76"/>
        <v>수</v>
      </c>
      <c r="D1003" s="3">
        <v>45112</v>
      </c>
      <c r="E1003" s="7">
        <v>137</v>
      </c>
      <c r="F1003" s="2" t="s">
        <v>13</v>
      </c>
      <c r="G1003" s="1">
        <v>37</v>
      </c>
      <c r="H1003" s="6">
        <f t="shared" si="73"/>
        <v>100</v>
      </c>
      <c r="I1003" s="1">
        <f>+COUNTIF(F$3:$F1003,F1003)</f>
        <v>64</v>
      </c>
      <c r="K1003" s="132" t="str">
        <f t="shared" si="77"/>
        <v>평일</v>
      </c>
    </row>
    <row r="1004" spans="1:11" ht="21.75" customHeight="1" x14ac:dyDescent="0.25">
      <c r="A1004" s="2">
        <f t="shared" si="74"/>
        <v>2023</v>
      </c>
      <c r="B1004" s="2">
        <f t="shared" si="75"/>
        <v>7</v>
      </c>
      <c r="C1004" s="2" t="str">
        <f t="shared" si="76"/>
        <v>목</v>
      </c>
      <c r="D1004" s="3">
        <v>45113</v>
      </c>
      <c r="E1004" s="7">
        <v>120</v>
      </c>
      <c r="F1004" s="2" t="s">
        <v>13</v>
      </c>
      <c r="G1004" s="1">
        <v>41</v>
      </c>
      <c r="H1004" s="6">
        <f t="shared" si="73"/>
        <v>79</v>
      </c>
      <c r="I1004" s="1">
        <f>+COUNTIF(F$3:$F1004,F1004)</f>
        <v>65</v>
      </c>
      <c r="K1004" s="132" t="str">
        <f t="shared" si="77"/>
        <v>평일</v>
      </c>
    </row>
    <row r="1005" spans="1:11" ht="21.75" customHeight="1" x14ac:dyDescent="0.25">
      <c r="A1005" s="2">
        <f t="shared" si="74"/>
        <v>2023</v>
      </c>
      <c r="B1005" s="2">
        <f t="shared" si="75"/>
        <v>7</v>
      </c>
      <c r="C1005" s="2" t="str">
        <f t="shared" si="76"/>
        <v>금</v>
      </c>
      <c r="D1005" s="3">
        <v>45114</v>
      </c>
      <c r="E1005" s="7">
        <v>166</v>
      </c>
      <c r="F1005" s="2" t="s">
        <v>13</v>
      </c>
      <c r="G1005" s="1">
        <v>44</v>
      </c>
      <c r="H1005" s="6">
        <f t="shared" ref="H1005:H1035" si="78">+E1005-G1005</f>
        <v>122</v>
      </c>
      <c r="I1005" s="1">
        <f>+COUNTIF(F$3:$F1005,F1005)</f>
        <v>66</v>
      </c>
      <c r="K1005" s="132" t="str">
        <f t="shared" si="77"/>
        <v>평일</v>
      </c>
    </row>
    <row r="1006" spans="1:11" ht="21.75" customHeight="1" x14ac:dyDescent="0.25">
      <c r="A1006" s="2">
        <f t="shared" si="74"/>
        <v>2023</v>
      </c>
      <c r="B1006" s="2">
        <f t="shared" si="75"/>
        <v>7</v>
      </c>
      <c r="C1006" s="2" t="str">
        <f t="shared" si="76"/>
        <v>토</v>
      </c>
      <c r="D1006" s="3">
        <v>45115</v>
      </c>
      <c r="E1006" s="7">
        <v>251</v>
      </c>
      <c r="F1006" s="2" t="s">
        <v>13</v>
      </c>
      <c r="G1006" s="1">
        <v>85</v>
      </c>
      <c r="H1006" s="6">
        <f t="shared" si="78"/>
        <v>166</v>
      </c>
      <c r="I1006" s="1">
        <f>+COUNTIF(F$3:$F1006,F1006)</f>
        <v>67</v>
      </c>
      <c r="K1006" s="132" t="str">
        <f t="shared" si="77"/>
        <v>주말</v>
      </c>
    </row>
    <row r="1007" spans="1:11" ht="21.75" customHeight="1" x14ac:dyDescent="0.25">
      <c r="A1007" s="2">
        <f t="shared" si="74"/>
        <v>2023</v>
      </c>
      <c r="B1007" s="2">
        <f t="shared" si="75"/>
        <v>7</v>
      </c>
      <c r="C1007" s="2" t="str">
        <f t="shared" si="76"/>
        <v>일</v>
      </c>
      <c r="D1007" s="3">
        <v>45116</v>
      </c>
      <c r="E1007" s="7">
        <v>323</v>
      </c>
      <c r="F1007" s="2" t="s">
        <v>13</v>
      </c>
      <c r="G1007" s="1">
        <v>72</v>
      </c>
      <c r="H1007" s="6">
        <f t="shared" si="78"/>
        <v>251</v>
      </c>
      <c r="I1007" s="1">
        <f>+COUNTIF(F$3:$F1007,F1007)</f>
        <v>68</v>
      </c>
      <c r="K1007" s="132" t="str">
        <f t="shared" si="77"/>
        <v>주말</v>
      </c>
    </row>
    <row r="1008" spans="1:11" ht="21.75" customHeight="1" x14ac:dyDescent="0.25">
      <c r="A1008" s="2">
        <f t="shared" si="74"/>
        <v>2023</v>
      </c>
      <c r="B1008" s="2">
        <f t="shared" si="75"/>
        <v>7</v>
      </c>
      <c r="C1008" s="2" t="str">
        <f t="shared" si="76"/>
        <v>월</v>
      </c>
      <c r="D1008" s="3">
        <v>45117</v>
      </c>
      <c r="E1008" s="7">
        <v>21</v>
      </c>
      <c r="F1008" s="2" t="s">
        <v>13</v>
      </c>
      <c r="G1008" s="1">
        <v>20</v>
      </c>
      <c r="H1008" s="6">
        <f t="shared" si="78"/>
        <v>1</v>
      </c>
      <c r="I1008" s="1">
        <f>+COUNTIF(F$3:$F1008,F1008)</f>
        <v>69</v>
      </c>
      <c r="K1008" s="132" t="str">
        <f t="shared" si="77"/>
        <v>평일</v>
      </c>
    </row>
    <row r="1009" spans="1:11" ht="21.75" customHeight="1" x14ac:dyDescent="0.25">
      <c r="A1009" s="2">
        <f t="shared" si="74"/>
        <v>2023</v>
      </c>
      <c r="B1009" s="2">
        <f t="shared" si="75"/>
        <v>7</v>
      </c>
      <c r="C1009" s="2" t="str">
        <f t="shared" si="76"/>
        <v>화</v>
      </c>
      <c r="D1009" s="3">
        <v>45118</v>
      </c>
      <c r="E1009" s="7">
        <v>123</v>
      </c>
      <c r="F1009" s="2" t="s">
        <v>13</v>
      </c>
      <c r="G1009" s="1">
        <v>35</v>
      </c>
      <c r="H1009" s="6">
        <f t="shared" si="78"/>
        <v>88</v>
      </c>
      <c r="I1009" s="1">
        <f>+COUNTIF(F$3:$F1009,F1009)</f>
        <v>70</v>
      </c>
      <c r="K1009" s="132" t="str">
        <f t="shared" si="77"/>
        <v>평일</v>
      </c>
    </row>
    <row r="1010" spans="1:11" ht="21.75" customHeight="1" x14ac:dyDescent="0.25">
      <c r="A1010" s="2">
        <f t="shared" si="74"/>
        <v>2023</v>
      </c>
      <c r="B1010" s="2">
        <f t="shared" si="75"/>
        <v>7</v>
      </c>
      <c r="C1010" s="2" t="str">
        <f t="shared" si="76"/>
        <v>수</v>
      </c>
      <c r="D1010" s="3">
        <v>45119</v>
      </c>
      <c r="E1010" s="7">
        <v>148</v>
      </c>
      <c r="F1010" s="2" t="s">
        <v>13</v>
      </c>
      <c r="G1010" s="1">
        <v>43</v>
      </c>
      <c r="H1010" s="6">
        <f t="shared" si="78"/>
        <v>105</v>
      </c>
      <c r="I1010" s="1">
        <f>+COUNTIF(F$3:$F1010,F1010)</f>
        <v>71</v>
      </c>
      <c r="K1010" s="132" t="str">
        <f t="shared" si="77"/>
        <v>평일</v>
      </c>
    </row>
    <row r="1011" spans="1:11" ht="21.75" customHeight="1" x14ac:dyDescent="0.25">
      <c r="A1011" s="2">
        <f t="shared" si="74"/>
        <v>2023</v>
      </c>
      <c r="B1011" s="2">
        <f t="shared" si="75"/>
        <v>7</v>
      </c>
      <c r="C1011" s="2" t="str">
        <f t="shared" si="76"/>
        <v>목</v>
      </c>
      <c r="D1011" s="3">
        <v>45120</v>
      </c>
      <c r="E1011" s="7">
        <v>81</v>
      </c>
      <c r="F1011" s="2" t="s">
        <v>13</v>
      </c>
      <c r="G1011" s="1">
        <v>25</v>
      </c>
      <c r="H1011" s="6">
        <f t="shared" si="78"/>
        <v>56</v>
      </c>
      <c r="I1011" s="1">
        <f>+COUNTIF(F$3:$F1011,F1011)</f>
        <v>72</v>
      </c>
      <c r="K1011" s="132" t="str">
        <f t="shared" si="77"/>
        <v>평일</v>
      </c>
    </row>
    <row r="1012" spans="1:11" ht="21.75" customHeight="1" x14ac:dyDescent="0.25">
      <c r="A1012" s="2">
        <f t="shared" si="74"/>
        <v>2023</v>
      </c>
      <c r="B1012" s="2">
        <f t="shared" si="75"/>
        <v>7</v>
      </c>
      <c r="C1012" s="2" t="str">
        <f t="shared" si="76"/>
        <v>금</v>
      </c>
      <c r="D1012" s="3">
        <v>45121</v>
      </c>
      <c r="E1012" s="7">
        <v>400</v>
      </c>
      <c r="F1012" s="2" t="s">
        <v>13</v>
      </c>
      <c r="G1012" s="1">
        <v>132</v>
      </c>
      <c r="H1012" s="6">
        <f t="shared" si="78"/>
        <v>268</v>
      </c>
      <c r="I1012" s="1">
        <f>+COUNTIF(F$3:$F1012,F1012)</f>
        <v>73</v>
      </c>
      <c r="K1012" s="132" t="str">
        <f t="shared" si="77"/>
        <v>평일</v>
      </c>
    </row>
    <row r="1013" spans="1:11" ht="21.75" customHeight="1" x14ac:dyDescent="0.25">
      <c r="A1013" s="2">
        <f t="shared" si="74"/>
        <v>2023</v>
      </c>
      <c r="B1013" s="2">
        <f t="shared" si="75"/>
        <v>7</v>
      </c>
      <c r="C1013" s="2" t="str">
        <f t="shared" si="76"/>
        <v>토</v>
      </c>
      <c r="D1013" s="3">
        <v>45122</v>
      </c>
      <c r="E1013" s="7">
        <v>408</v>
      </c>
      <c r="F1013" s="2" t="s">
        <v>13</v>
      </c>
      <c r="G1013" s="1">
        <v>123</v>
      </c>
      <c r="H1013" s="6">
        <f t="shared" si="78"/>
        <v>285</v>
      </c>
      <c r="I1013" s="1">
        <f>+COUNTIF(F$3:$F1013,F1013)</f>
        <v>74</v>
      </c>
      <c r="K1013" s="132" t="str">
        <f t="shared" si="77"/>
        <v>주말</v>
      </c>
    </row>
    <row r="1014" spans="1:11" ht="21.75" customHeight="1" x14ac:dyDescent="0.25">
      <c r="A1014" s="2">
        <f t="shared" si="74"/>
        <v>2023</v>
      </c>
      <c r="B1014" s="2">
        <f t="shared" si="75"/>
        <v>7</v>
      </c>
      <c r="C1014" s="2" t="str">
        <f t="shared" si="76"/>
        <v>일</v>
      </c>
      <c r="D1014" s="3">
        <v>45123</v>
      </c>
      <c r="E1014" s="7">
        <v>384</v>
      </c>
      <c r="F1014" s="2" t="s">
        <v>13</v>
      </c>
      <c r="G1014" s="1">
        <v>118</v>
      </c>
      <c r="H1014" s="6">
        <f t="shared" si="78"/>
        <v>266</v>
      </c>
      <c r="I1014" s="1">
        <f>+COUNTIF(F$3:$F1014,F1014)</f>
        <v>75</v>
      </c>
      <c r="K1014" s="132" t="str">
        <f t="shared" si="77"/>
        <v>주말</v>
      </c>
    </row>
    <row r="1015" spans="1:11" ht="21.75" customHeight="1" x14ac:dyDescent="0.25">
      <c r="A1015" s="2">
        <f t="shared" si="74"/>
        <v>2023</v>
      </c>
      <c r="B1015" s="2">
        <f t="shared" si="75"/>
        <v>7</v>
      </c>
      <c r="C1015" s="2" t="str">
        <f t="shared" si="76"/>
        <v>월</v>
      </c>
      <c r="D1015" s="3">
        <v>45124</v>
      </c>
      <c r="E1015" s="7">
        <v>147</v>
      </c>
      <c r="F1015" s="2" t="s">
        <v>13</v>
      </c>
      <c r="G1015" s="1">
        <v>43</v>
      </c>
      <c r="H1015" s="6">
        <f t="shared" si="78"/>
        <v>104</v>
      </c>
      <c r="I1015" s="1">
        <f>+COUNTIF(F$3:$F1015,F1015)</f>
        <v>76</v>
      </c>
      <c r="K1015" s="132" t="str">
        <f t="shared" si="77"/>
        <v>평일</v>
      </c>
    </row>
    <row r="1016" spans="1:11" ht="21.75" customHeight="1" x14ac:dyDescent="0.25">
      <c r="A1016" s="2">
        <f t="shared" si="74"/>
        <v>2023</v>
      </c>
      <c r="B1016" s="2">
        <f t="shared" si="75"/>
        <v>7</v>
      </c>
      <c r="C1016" s="2" t="str">
        <f t="shared" si="76"/>
        <v>화</v>
      </c>
      <c r="D1016" s="3">
        <v>45125</v>
      </c>
      <c r="E1016" s="7">
        <v>87</v>
      </c>
      <c r="F1016" s="2" t="s">
        <v>13</v>
      </c>
      <c r="G1016" s="1">
        <v>23</v>
      </c>
      <c r="H1016" s="6">
        <f t="shared" si="78"/>
        <v>64</v>
      </c>
      <c r="I1016" s="1">
        <f>+COUNTIF(F$3:$F1016,F1016)</f>
        <v>77</v>
      </c>
      <c r="K1016" s="132" t="str">
        <f t="shared" si="77"/>
        <v>평일</v>
      </c>
    </row>
    <row r="1017" spans="1:11" ht="21.75" customHeight="1" x14ac:dyDescent="0.25">
      <c r="A1017" s="2">
        <f t="shared" si="74"/>
        <v>2023</v>
      </c>
      <c r="B1017" s="2">
        <f t="shared" si="75"/>
        <v>7</v>
      </c>
      <c r="C1017" s="2" t="str">
        <f t="shared" si="76"/>
        <v>수</v>
      </c>
      <c r="D1017" s="3">
        <v>45126</v>
      </c>
      <c r="E1017" s="7">
        <v>122</v>
      </c>
      <c r="F1017" s="2" t="s">
        <v>13</v>
      </c>
      <c r="G1017" s="1">
        <v>52</v>
      </c>
      <c r="H1017" s="6">
        <f t="shared" si="78"/>
        <v>70</v>
      </c>
      <c r="I1017" s="1">
        <f>+COUNTIF(F$3:$F1017,F1017)</f>
        <v>78</v>
      </c>
      <c r="K1017" s="132" t="str">
        <f t="shared" si="77"/>
        <v>평일</v>
      </c>
    </row>
    <row r="1018" spans="1:11" ht="21.75" customHeight="1" x14ac:dyDescent="0.25">
      <c r="A1018" s="2">
        <f t="shared" si="74"/>
        <v>2023</v>
      </c>
      <c r="B1018" s="2">
        <f t="shared" si="75"/>
        <v>7</v>
      </c>
      <c r="C1018" s="2" t="str">
        <f t="shared" si="76"/>
        <v>목</v>
      </c>
      <c r="D1018" s="3">
        <v>45127</v>
      </c>
      <c r="E1018" s="7">
        <v>126</v>
      </c>
      <c r="F1018" s="2" t="s">
        <v>13</v>
      </c>
      <c r="G1018" s="1">
        <v>38</v>
      </c>
      <c r="H1018" s="6">
        <f t="shared" si="78"/>
        <v>88</v>
      </c>
      <c r="I1018" s="1">
        <f>+COUNTIF(F$3:$F1018,F1018)</f>
        <v>79</v>
      </c>
      <c r="K1018" s="132" t="str">
        <f t="shared" si="77"/>
        <v>평일</v>
      </c>
    </row>
    <row r="1019" spans="1:11" ht="21.75" customHeight="1" x14ac:dyDescent="0.25">
      <c r="A1019" s="2">
        <f t="shared" si="74"/>
        <v>2023</v>
      </c>
      <c r="B1019" s="2">
        <f t="shared" si="75"/>
        <v>7</v>
      </c>
      <c r="C1019" s="2" t="str">
        <f t="shared" si="76"/>
        <v>금</v>
      </c>
      <c r="D1019" s="3">
        <v>45128</v>
      </c>
      <c r="E1019" s="7">
        <v>194</v>
      </c>
      <c r="F1019" s="2" t="s">
        <v>13</v>
      </c>
      <c r="G1019" s="1">
        <v>74</v>
      </c>
      <c r="H1019" s="6">
        <f t="shared" si="78"/>
        <v>120</v>
      </c>
      <c r="I1019" s="1">
        <f>+COUNTIF(F$3:$F1019,F1019)</f>
        <v>80</v>
      </c>
      <c r="K1019" s="132" t="str">
        <f t="shared" si="77"/>
        <v>평일</v>
      </c>
    </row>
    <row r="1020" spans="1:11" ht="21.75" customHeight="1" x14ac:dyDescent="0.25">
      <c r="A1020" s="2">
        <f t="shared" si="74"/>
        <v>2023</v>
      </c>
      <c r="B1020" s="2">
        <f t="shared" si="75"/>
        <v>7</v>
      </c>
      <c r="C1020" s="2" t="str">
        <f t="shared" si="76"/>
        <v>토</v>
      </c>
      <c r="D1020" s="3">
        <v>45129</v>
      </c>
      <c r="E1020" s="7">
        <v>497</v>
      </c>
      <c r="F1020" s="2" t="s">
        <v>13</v>
      </c>
      <c r="G1020" s="1">
        <v>178</v>
      </c>
      <c r="H1020" s="6">
        <f t="shared" si="78"/>
        <v>319</v>
      </c>
      <c r="I1020" s="1">
        <f>+COUNTIF(F$3:$F1020,F1020)</f>
        <v>81</v>
      </c>
      <c r="K1020" s="132" t="str">
        <f t="shared" si="77"/>
        <v>주말</v>
      </c>
    </row>
    <row r="1021" spans="1:11" ht="21.75" customHeight="1" x14ac:dyDescent="0.25">
      <c r="A1021" s="2">
        <f t="shared" si="74"/>
        <v>2023</v>
      </c>
      <c r="B1021" s="2">
        <f t="shared" si="75"/>
        <v>7</v>
      </c>
      <c r="C1021" s="2" t="str">
        <f t="shared" si="76"/>
        <v>일</v>
      </c>
      <c r="D1021" s="3">
        <v>45130</v>
      </c>
      <c r="E1021" s="7">
        <v>437</v>
      </c>
      <c r="F1021" s="2" t="s">
        <v>13</v>
      </c>
      <c r="G1021" s="1">
        <v>140</v>
      </c>
      <c r="H1021" s="6">
        <f t="shared" si="78"/>
        <v>297</v>
      </c>
      <c r="I1021" s="1">
        <f>+COUNTIF(F$3:$F1021,F1021)</f>
        <v>82</v>
      </c>
      <c r="K1021" s="132" t="str">
        <f t="shared" si="77"/>
        <v>주말</v>
      </c>
    </row>
    <row r="1022" spans="1:11" ht="21.75" customHeight="1" x14ac:dyDescent="0.25">
      <c r="A1022" s="2">
        <f t="shared" si="74"/>
        <v>2023</v>
      </c>
      <c r="B1022" s="2">
        <f t="shared" si="75"/>
        <v>7</v>
      </c>
      <c r="C1022" s="2" t="str">
        <f t="shared" si="76"/>
        <v>월</v>
      </c>
      <c r="D1022" s="3">
        <v>45131</v>
      </c>
      <c r="E1022" s="7">
        <v>197</v>
      </c>
      <c r="F1022" s="2" t="s">
        <v>13</v>
      </c>
      <c r="G1022" s="1">
        <v>55</v>
      </c>
      <c r="H1022" s="6">
        <f t="shared" si="78"/>
        <v>142</v>
      </c>
      <c r="I1022" s="1">
        <f>+COUNTIF(F$3:$F1022,F1022)</f>
        <v>83</v>
      </c>
      <c r="K1022" s="132" t="str">
        <f t="shared" si="77"/>
        <v>평일</v>
      </c>
    </row>
    <row r="1023" spans="1:11" ht="21.75" customHeight="1" x14ac:dyDescent="0.25">
      <c r="A1023" s="2">
        <f t="shared" si="74"/>
        <v>2023</v>
      </c>
      <c r="B1023" s="2">
        <f t="shared" si="75"/>
        <v>7</v>
      </c>
      <c r="C1023" s="2" t="str">
        <f t="shared" si="76"/>
        <v>화</v>
      </c>
      <c r="D1023" s="3">
        <v>45132</v>
      </c>
      <c r="E1023" s="7">
        <v>175</v>
      </c>
      <c r="F1023" s="2" t="s">
        <v>13</v>
      </c>
      <c r="G1023" s="1">
        <v>90</v>
      </c>
      <c r="H1023" s="6">
        <f t="shared" si="78"/>
        <v>85</v>
      </c>
      <c r="I1023" s="1">
        <f>+COUNTIF(F$3:$F1023,F1023)</f>
        <v>84</v>
      </c>
      <c r="K1023" s="132" t="str">
        <f t="shared" si="77"/>
        <v>평일</v>
      </c>
    </row>
    <row r="1024" spans="1:11" ht="21.75" customHeight="1" x14ac:dyDescent="0.25">
      <c r="A1024" s="2">
        <f t="shared" si="74"/>
        <v>2023</v>
      </c>
      <c r="B1024" s="2">
        <f t="shared" si="75"/>
        <v>7</v>
      </c>
      <c r="C1024" s="2" t="str">
        <f t="shared" si="76"/>
        <v>수</v>
      </c>
      <c r="D1024" s="3">
        <v>45133</v>
      </c>
      <c r="E1024" s="7">
        <v>288</v>
      </c>
      <c r="F1024" s="2" t="s">
        <v>13</v>
      </c>
      <c r="G1024" s="1">
        <v>89</v>
      </c>
      <c r="H1024" s="6">
        <f t="shared" si="78"/>
        <v>199</v>
      </c>
      <c r="I1024" s="1">
        <f>+COUNTIF(F$3:$F1024,F1024)</f>
        <v>85</v>
      </c>
      <c r="K1024" s="132" t="str">
        <f t="shared" si="77"/>
        <v>평일</v>
      </c>
    </row>
    <row r="1025" spans="1:11" ht="21.75" customHeight="1" x14ac:dyDescent="0.25">
      <c r="A1025" s="2">
        <f t="shared" si="74"/>
        <v>2023</v>
      </c>
      <c r="B1025" s="2">
        <f t="shared" si="75"/>
        <v>7</v>
      </c>
      <c r="C1025" s="2" t="str">
        <f t="shared" si="76"/>
        <v>목</v>
      </c>
      <c r="D1025" s="3">
        <v>45134</v>
      </c>
      <c r="E1025" s="7">
        <v>211</v>
      </c>
      <c r="F1025" s="2" t="s">
        <v>13</v>
      </c>
      <c r="G1025" s="1">
        <v>114</v>
      </c>
      <c r="H1025" s="6">
        <f t="shared" si="78"/>
        <v>97</v>
      </c>
      <c r="I1025" s="1">
        <f>+COUNTIF(F$3:$F1025,F1025)</f>
        <v>86</v>
      </c>
      <c r="K1025" s="132" t="str">
        <f t="shared" si="77"/>
        <v>평일</v>
      </c>
    </row>
    <row r="1026" spans="1:11" ht="21.75" customHeight="1" x14ac:dyDescent="0.25">
      <c r="A1026" s="2">
        <f t="shared" si="74"/>
        <v>2023</v>
      </c>
      <c r="B1026" s="2">
        <f t="shared" si="75"/>
        <v>7</v>
      </c>
      <c r="C1026" s="2" t="str">
        <f t="shared" si="76"/>
        <v>금</v>
      </c>
      <c r="D1026" s="3">
        <v>45135</v>
      </c>
      <c r="E1026" s="7">
        <v>264</v>
      </c>
      <c r="F1026" s="2" t="s">
        <v>13</v>
      </c>
      <c r="G1026" s="1">
        <v>154</v>
      </c>
      <c r="H1026" s="6">
        <f t="shared" si="78"/>
        <v>110</v>
      </c>
      <c r="I1026" s="1">
        <f>+COUNTIF(F$3:$F1026,F1026)</f>
        <v>87</v>
      </c>
      <c r="K1026" s="132" t="str">
        <f t="shared" si="77"/>
        <v>평일</v>
      </c>
    </row>
    <row r="1027" spans="1:11" ht="21.75" customHeight="1" x14ac:dyDescent="0.25">
      <c r="A1027" s="2">
        <f t="shared" si="74"/>
        <v>2023</v>
      </c>
      <c r="B1027" s="2">
        <f t="shared" si="75"/>
        <v>7</v>
      </c>
      <c r="C1027" s="2" t="str">
        <f t="shared" si="76"/>
        <v>토</v>
      </c>
      <c r="D1027" s="3">
        <v>45136</v>
      </c>
      <c r="E1027" s="7">
        <v>695</v>
      </c>
      <c r="F1027" s="2" t="s">
        <v>13</v>
      </c>
      <c r="G1027" s="1">
        <v>414</v>
      </c>
      <c r="H1027" s="6">
        <f t="shared" si="78"/>
        <v>281</v>
      </c>
      <c r="I1027" s="1">
        <f>+COUNTIF(F$3:$F1027,F1027)</f>
        <v>88</v>
      </c>
      <c r="K1027" s="132" t="str">
        <f t="shared" si="77"/>
        <v>주말</v>
      </c>
    </row>
    <row r="1028" spans="1:11" ht="21.75" customHeight="1" x14ac:dyDescent="0.25">
      <c r="A1028" s="2">
        <f t="shared" ref="A1028:A1091" si="79">+YEAR(D1028)</f>
        <v>2023</v>
      </c>
      <c r="B1028" s="2">
        <f t="shared" ref="B1028:B1091" si="80">+MONTH(D1028)</f>
        <v>7</v>
      </c>
      <c r="C1028" s="2" t="str">
        <f t="shared" ref="C1028:C1091" si="81">+TEXT(D1028,"aaa")</f>
        <v>일</v>
      </c>
      <c r="D1028" s="3">
        <v>45137</v>
      </c>
      <c r="E1028" s="7">
        <v>649</v>
      </c>
      <c r="F1028" s="2" t="s">
        <v>13</v>
      </c>
      <c r="G1028" s="1">
        <v>384</v>
      </c>
      <c r="H1028" s="6">
        <f t="shared" si="78"/>
        <v>265</v>
      </c>
      <c r="I1028" s="1">
        <f>+COUNTIF(F$3:$F1028,F1028)</f>
        <v>89</v>
      </c>
      <c r="K1028" s="132" t="str">
        <f t="shared" ref="K1028:K1091" si="82">+IF(OR(C1028="토",C1028="일"),"주말","평일")</f>
        <v>주말</v>
      </c>
    </row>
    <row r="1029" spans="1:11" ht="21.75" customHeight="1" x14ac:dyDescent="0.25">
      <c r="A1029" s="2">
        <f t="shared" si="79"/>
        <v>2023</v>
      </c>
      <c r="B1029" s="2">
        <f t="shared" si="80"/>
        <v>7</v>
      </c>
      <c r="C1029" s="2" t="str">
        <f t="shared" si="81"/>
        <v>월</v>
      </c>
      <c r="D1029" s="3">
        <v>45138</v>
      </c>
      <c r="E1029" s="7">
        <v>314</v>
      </c>
      <c r="F1029" s="2" t="s">
        <v>13</v>
      </c>
      <c r="G1029" s="1">
        <v>148</v>
      </c>
      <c r="H1029" s="6">
        <f t="shared" si="78"/>
        <v>166</v>
      </c>
      <c r="I1029" s="1">
        <f>+COUNTIF(F$3:$F1029,F1029)</f>
        <v>90</v>
      </c>
      <c r="K1029" s="132" t="str">
        <f t="shared" si="82"/>
        <v>평일</v>
      </c>
    </row>
    <row r="1030" spans="1:11" ht="21.75" customHeight="1" x14ac:dyDescent="0.25">
      <c r="A1030" s="2">
        <f t="shared" si="79"/>
        <v>2023</v>
      </c>
      <c r="B1030" s="2">
        <f t="shared" si="80"/>
        <v>8</v>
      </c>
      <c r="C1030" s="2" t="str">
        <f t="shared" si="81"/>
        <v>화</v>
      </c>
      <c r="D1030" s="3">
        <v>45139</v>
      </c>
      <c r="E1030" s="7">
        <v>248</v>
      </c>
      <c r="F1030" s="2" t="s">
        <v>13</v>
      </c>
      <c r="G1030" s="1">
        <v>83</v>
      </c>
      <c r="H1030" s="6">
        <f t="shared" si="78"/>
        <v>165</v>
      </c>
      <c r="I1030" s="1">
        <f>+COUNTIF(F$3:$F1030,F1030)</f>
        <v>91</v>
      </c>
      <c r="K1030" s="132" t="str">
        <f t="shared" si="82"/>
        <v>평일</v>
      </c>
    </row>
    <row r="1031" spans="1:11" ht="21.75" customHeight="1" x14ac:dyDescent="0.25">
      <c r="A1031" s="2">
        <f t="shared" si="79"/>
        <v>2023</v>
      </c>
      <c r="B1031" s="2">
        <f t="shared" si="80"/>
        <v>8</v>
      </c>
      <c r="C1031" s="2" t="str">
        <f t="shared" si="81"/>
        <v>수</v>
      </c>
      <c r="D1031" s="3">
        <v>45140</v>
      </c>
      <c r="E1031" s="7">
        <v>262</v>
      </c>
      <c r="F1031" s="2" t="s">
        <v>13</v>
      </c>
      <c r="G1031" s="1">
        <v>97</v>
      </c>
      <c r="H1031" s="6">
        <f t="shared" si="78"/>
        <v>165</v>
      </c>
      <c r="I1031" s="1">
        <f>+COUNTIF(F$3:$F1031,F1031)</f>
        <v>92</v>
      </c>
      <c r="K1031" s="132" t="str">
        <f t="shared" si="82"/>
        <v>평일</v>
      </c>
    </row>
    <row r="1032" spans="1:11" ht="21.75" customHeight="1" x14ac:dyDescent="0.25">
      <c r="A1032" s="2">
        <f t="shared" si="79"/>
        <v>2023</v>
      </c>
      <c r="B1032" s="2">
        <f t="shared" si="80"/>
        <v>8</v>
      </c>
      <c r="C1032" s="2" t="str">
        <f t="shared" si="81"/>
        <v>목</v>
      </c>
      <c r="D1032" s="3">
        <v>45141</v>
      </c>
      <c r="E1032" s="7">
        <v>364</v>
      </c>
      <c r="F1032" s="2" t="s">
        <v>13</v>
      </c>
      <c r="G1032" s="1">
        <v>142</v>
      </c>
      <c r="H1032" s="6">
        <f t="shared" si="78"/>
        <v>222</v>
      </c>
      <c r="I1032" s="1">
        <f>+COUNTIF(F$3:$F1032,F1032)</f>
        <v>93</v>
      </c>
      <c r="K1032" s="132" t="str">
        <f t="shared" si="82"/>
        <v>평일</v>
      </c>
    </row>
    <row r="1033" spans="1:11" ht="21.75" customHeight="1" x14ac:dyDescent="0.25">
      <c r="A1033" s="2">
        <f t="shared" si="79"/>
        <v>2023</v>
      </c>
      <c r="B1033" s="2">
        <f t="shared" si="80"/>
        <v>8</v>
      </c>
      <c r="C1033" s="2" t="str">
        <f t="shared" si="81"/>
        <v>금</v>
      </c>
      <c r="D1033" s="3">
        <v>45142</v>
      </c>
      <c r="E1033" s="7">
        <v>361</v>
      </c>
      <c r="F1033" s="2" t="s">
        <v>13</v>
      </c>
      <c r="G1033" s="1">
        <v>164</v>
      </c>
      <c r="H1033" s="6">
        <f t="shared" si="78"/>
        <v>197</v>
      </c>
      <c r="I1033" s="1">
        <f>+COUNTIF(F$3:$F1033,F1033)</f>
        <v>94</v>
      </c>
      <c r="K1033" s="132" t="str">
        <f t="shared" si="82"/>
        <v>평일</v>
      </c>
    </row>
    <row r="1034" spans="1:11" ht="21.75" customHeight="1" x14ac:dyDescent="0.25">
      <c r="A1034" s="2">
        <f t="shared" si="79"/>
        <v>2023</v>
      </c>
      <c r="B1034" s="2">
        <f t="shared" si="80"/>
        <v>8</v>
      </c>
      <c r="C1034" s="2" t="str">
        <f t="shared" si="81"/>
        <v>토</v>
      </c>
      <c r="D1034" s="3">
        <v>45143</v>
      </c>
      <c r="E1034" s="7">
        <v>701</v>
      </c>
      <c r="F1034" s="2" t="s">
        <v>13</v>
      </c>
      <c r="G1034" s="1">
        <v>375</v>
      </c>
      <c r="H1034" s="6">
        <f t="shared" si="78"/>
        <v>326</v>
      </c>
      <c r="I1034" s="1">
        <f>+COUNTIF(F$3:$F1034,F1034)</f>
        <v>95</v>
      </c>
      <c r="K1034" s="132" t="str">
        <f t="shared" si="82"/>
        <v>주말</v>
      </c>
    </row>
    <row r="1035" spans="1:11" ht="21.75" customHeight="1" x14ac:dyDescent="0.25">
      <c r="A1035" s="2">
        <f t="shared" si="79"/>
        <v>2023</v>
      </c>
      <c r="B1035" s="2">
        <f t="shared" si="80"/>
        <v>8</v>
      </c>
      <c r="C1035" s="2" t="str">
        <f t="shared" si="81"/>
        <v>일</v>
      </c>
      <c r="D1035" s="3">
        <v>45144</v>
      </c>
      <c r="E1035" s="7">
        <v>786</v>
      </c>
      <c r="F1035" s="2" t="s">
        <v>13</v>
      </c>
      <c r="G1035" s="1">
        <v>475</v>
      </c>
      <c r="H1035" s="6">
        <f t="shared" si="78"/>
        <v>311</v>
      </c>
      <c r="I1035" s="1">
        <f>+COUNTIF(F$3:$F1035,F1035)</f>
        <v>96</v>
      </c>
      <c r="K1035" s="132" t="str">
        <f t="shared" si="82"/>
        <v>주말</v>
      </c>
    </row>
    <row r="1036" spans="1:11" ht="21.75" customHeight="1" x14ac:dyDescent="0.25">
      <c r="A1036" s="2">
        <f t="shared" si="79"/>
        <v>2023</v>
      </c>
      <c r="B1036" s="2">
        <f t="shared" si="80"/>
        <v>8</v>
      </c>
      <c r="C1036" s="2" t="str">
        <f t="shared" si="81"/>
        <v>월</v>
      </c>
      <c r="D1036" s="3">
        <v>45145</v>
      </c>
      <c r="E1036" s="7">
        <v>0</v>
      </c>
      <c r="F1036" s="2">
        <v>0</v>
      </c>
      <c r="I1036" s="1">
        <f>+COUNTIF(F$3:$F1036,F1036)</f>
        <v>266</v>
      </c>
      <c r="K1036" s="132" t="str">
        <f t="shared" si="82"/>
        <v>평일</v>
      </c>
    </row>
    <row r="1037" spans="1:11" ht="21.75" customHeight="1" x14ac:dyDescent="0.25">
      <c r="A1037" s="2">
        <f t="shared" si="79"/>
        <v>2023</v>
      </c>
      <c r="B1037" s="2">
        <f t="shared" si="80"/>
        <v>8</v>
      </c>
      <c r="C1037" s="2" t="str">
        <f t="shared" si="81"/>
        <v>화</v>
      </c>
      <c r="D1037" s="3">
        <v>45146</v>
      </c>
      <c r="E1037" s="7">
        <v>0</v>
      </c>
      <c r="F1037" s="2">
        <v>0</v>
      </c>
      <c r="I1037" s="1">
        <f>+COUNTIF(F$3:$F1037,F1037)</f>
        <v>267</v>
      </c>
      <c r="K1037" s="132" t="str">
        <f t="shared" si="82"/>
        <v>평일</v>
      </c>
    </row>
    <row r="1038" spans="1:11" ht="21.75" customHeight="1" x14ac:dyDescent="0.25">
      <c r="A1038" s="2">
        <f t="shared" si="79"/>
        <v>2023</v>
      </c>
      <c r="B1038" s="2">
        <f t="shared" si="80"/>
        <v>8</v>
      </c>
      <c r="C1038" s="2" t="str">
        <f t="shared" si="81"/>
        <v>수</v>
      </c>
      <c r="D1038" s="3">
        <v>45147</v>
      </c>
      <c r="E1038" s="7">
        <v>0</v>
      </c>
      <c r="F1038" s="2">
        <v>0</v>
      </c>
      <c r="I1038" s="1">
        <f>+COUNTIF(F$3:$F1038,F1038)</f>
        <v>268</v>
      </c>
      <c r="K1038" s="132" t="str">
        <f t="shared" si="82"/>
        <v>평일</v>
      </c>
    </row>
    <row r="1039" spans="1:11" ht="21.75" customHeight="1" x14ac:dyDescent="0.25">
      <c r="A1039" s="2">
        <f t="shared" si="79"/>
        <v>2023</v>
      </c>
      <c r="B1039" s="2">
        <f t="shared" si="80"/>
        <v>8</v>
      </c>
      <c r="C1039" s="2" t="str">
        <f t="shared" si="81"/>
        <v>목</v>
      </c>
      <c r="D1039" s="3">
        <v>45148</v>
      </c>
      <c r="E1039" s="7">
        <v>0</v>
      </c>
      <c r="F1039" s="2">
        <v>0</v>
      </c>
      <c r="I1039" s="1">
        <f>+COUNTIF(F$3:$F1039,F1039)</f>
        <v>269</v>
      </c>
      <c r="K1039" s="132" t="str">
        <f t="shared" si="82"/>
        <v>평일</v>
      </c>
    </row>
    <row r="1040" spans="1:11" ht="21.75" customHeight="1" x14ac:dyDescent="0.25">
      <c r="A1040" s="2">
        <f t="shared" si="79"/>
        <v>2023</v>
      </c>
      <c r="B1040" s="2">
        <f t="shared" si="80"/>
        <v>8</v>
      </c>
      <c r="C1040" s="2" t="str">
        <f t="shared" si="81"/>
        <v>금</v>
      </c>
      <c r="D1040" s="3">
        <v>45149</v>
      </c>
      <c r="E1040" s="7">
        <v>0</v>
      </c>
      <c r="F1040" s="2">
        <v>0</v>
      </c>
      <c r="I1040" s="1">
        <f>+COUNTIF(F$3:$F1040,F1040)</f>
        <v>270</v>
      </c>
      <c r="K1040" s="132" t="str">
        <f t="shared" si="82"/>
        <v>평일</v>
      </c>
    </row>
    <row r="1041" spans="1:11" ht="21.75" customHeight="1" x14ac:dyDescent="0.25">
      <c r="A1041" s="2">
        <f t="shared" si="79"/>
        <v>2023</v>
      </c>
      <c r="B1041" s="2">
        <f t="shared" si="80"/>
        <v>8</v>
      </c>
      <c r="C1041" s="2" t="str">
        <f t="shared" si="81"/>
        <v>토</v>
      </c>
      <c r="D1041" s="3">
        <v>45150</v>
      </c>
      <c r="E1041" s="7">
        <v>0</v>
      </c>
      <c r="F1041" s="2">
        <v>0</v>
      </c>
      <c r="I1041" s="1">
        <f>+COUNTIF(F$3:$F1041,F1041)</f>
        <v>271</v>
      </c>
      <c r="K1041" s="132" t="str">
        <f t="shared" si="82"/>
        <v>주말</v>
      </c>
    </row>
    <row r="1042" spans="1:11" ht="21.75" customHeight="1" x14ac:dyDescent="0.25">
      <c r="A1042" s="2">
        <f t="shared" si="79"/>
        <v>2023</v>
      </c>
      <c r="B1042" s="2">
        <f t="shared" si="80"/>
        <v>8</v>
      </c>
      <c r="C1042" s="2" t="str">
        <f t="shared" si="81"/>
        <v>일</v>
      </c>
      <c r="D1042" s="3">
        <v>45151</v>
      </c>
      <c r="E1042" s="7">
        <v>0</v>
      </c>
      <c r="F1042" s="2">
        <v>0</v>
      </c>
      <c r="I1042" s="1">
        <f>+COUNTIF(F$3:$F1042,F1042)</f>
        <v>272</v>
      </c>
      <c r="K1042" s="132" t="str">
        <f t="shared" si="82"/>
        <v>주말</v>
      </c>
    </row>
    <row r="1043" spans="1:11" ht="21.75" customHeight="1" x14ac:dyDescent="0.25">
      <c r="A1043" s="2">
        <f t="shared" si="79"/>
        <v>2023</v>
      </c>
      <c r="B1043" s="2">
        <f t="shared" si="80"/>
        <v>8</v>
      </c>
      <c r="C1043" s="2" t="str">
        <f t="shared" si="81"/>
        <v>월</v>
      </c>
      <c r="D1043" s="3">
        <v>45152</v>
      </c>
      <c r="E1043" s="7">
        <v>0</v>
      </c>
      <c r="F1043" s="2">
        <v>0</v>
      </c>
      <c r="I1043" s="1">
        <f>+COUNTIF(F$3:$F1043,F1043)</f>
        <v>273</v>
      </c>
      <c r="K1043" s="132" t="str">
        <f t="shared" si="82"/>
        <v>평일</v>
      </c>
    </row>
    <row r="1044" spans="1:11" ht="21.75" customHeight="1" x14ac:dyDescent="0.25">
      <c r="A1044" s="2">
        <f t="shared" si="79"/>
        <v>2023</v>
      </c>
      <c r="B1044" s="2">
        <f t="shared" si="80"/>
        <v>8</v>
      </c>
      <c r="C1044" s="2" t="str">
        <f t="shared" si="81"/>
        <v>화</v>
      </c>
      <c r="D1044" s="3">
        <v>45153</v>
      </c>
      <c r="E1044" s="7">
        <v>0</v>
      </c>
      <c r="F1044" s="2">
        <v>0</v>
      </c>
      <c r="I1044" s="1">
        <f>+COUNTIF(F$3:$F1044,F1044)</f>
        <v>274</v>
      </c>
      <c r="K1044" s="132" t="str">
        <f t="shared" si="82"/>
        <v>평일</v>
      </c>
    </row>
    <row r="1045" spans="1:11" ht="21.75" customHeight="1" x14ac:dyDescent="0.25">
      <c r="A1045" s="2">
        <f t="shared" si="79"/>
        <v>2023</v>
      </c>
      <c r="B1045" s="2">
        <f t="shared" si="80"/>
        <v>8</v>
      </c>
      <c r="C1045" s="2" t="str">
        <f t="shared" si="81"/>
        <v>수</v>
      </c>
      <c r="D1045" s="3">
        <v>45154</v>
      </c>
      <c r="E1045" s="7">
        <v>0</v>
      </c>
      <c r="F1045" s="2">
        <v>0</v>
      </c>
      <c r="I1045" s="1">
        <f>+COUNTIF(F$3:$F1045,F1045)</f>
        <v>275</v>
      </c>
      <c r="K1045" s="132" t="str">
        <f t="shared" si="82"/>
        <v>평일</v>
      </c>
    </row>
    <row r="1046" spans="1:11" ht="21.75" customHeight="1" x14ac:dyDescent="0.25">
      <c r="A1046" s="2">
        <f t="shared" si="79"/>
        <v>2023</v>
      </c>
      <c r="B1046" s="2">
        <f t="shared" si="80"/>
        <v>8</v>
      </c>
      <c r="C1046" s="2" t="str">
        <f t="shared" si="81"/>
        <v>목</v>
      </c>
      <c r="D1046" s="3">
        <v>45155</v>
      </c>
      <c r="E1046" s="7">
        <v>0</v>
      </c>
      <c r="F1046" s="2">
        <v>0</v>
      </c>
      <c r="I1046" s="1">
        <f>+COUNTIF(F$3:$F1046,F1046)</f>
        <v>276</v>
      </c>
      <c r="K1046" s="132" t="str">
        <f t="shared" si="82"/>
        <v>평일</v>
      </c>
    </row>
    <row r="1047" spans="1:11" ht="21.75" customHeight="1" x14ac:dyDescent="0.25">
      <c r="A1047" s="2">
        <f t="shared" si="79"/>
        <v>2023</v>
      </c>
      <c r="B1047" s="2">
        <f t="shared" si="80"/>
        <v>8</v>
      </c>
      <c r="C1047" s="2" t="str">
        <f t="shared" si="81"/>
        <v>금</v>
      </c>
      <c r="D1047" s="3">
        <v>45156</v>
      </c>
      <c r="E1047" s="7">
        <v>0</v>
      </c>
      <c r="F1047" s="2">
        <v>0</v>
      </c>
      <c r="I1047" s="1">
        <f>+COUNTIF(F$3:$F1047,F1047)</f>
        <v>277</v>
      </c>
      <c r="K1047" s="132" t="str">
        <f t="shared" si="82"/>
        <v>평일</v>
      </c>
    </row>
    <row r="1048" spans="1:11" ht="21.75" customHeight="1" x14ac:dyDescent="0.25">
      <c r="A1048" s="2">
        <f t="shared" si="79"/>
        <v>2023</v>
      </c>
      <c r="B1048" s="2">
        <f t="shared" si="80"/>
        <v>8</v>
      </c>
      <c r="C1048" s="2" t="str">
        <f t="shared" si="81"/>
        <v>토</v>
      </c>
      <c r="D1048" s="3">
        <v>45157</v>
      </c>
      <c r="E1048" s="7">
        <v>0</v>
      </c>
      <c r="F1048" s="2">
        <v>0</v>
      </c>
      <c r="I1048" s="1">
        <f>+COUNTIF(F$3:$F1048,F1048)</f>
        <v>278</v>
      </c>
      <c r="K1048" s="132" t="str">
        <f t="shared" si="82"/>
        <v>주말</v>
      </c>
    </row>
    <row r="1049" spans="1:11" ht="21.75" customHeight="1" x14ac:dyDescent="0.25">
      <c r="A1049" s="2">
        <f t="shared" si="79"/>
        <v>2023</v>
      </c>
      <c r="B1049" s="2">
        <f t="shared" si="80"/>
        <v>8</v>
      </c>
      <c r="C1049" s="2" t="str">
        <f t="shared" si="81"/>
        <v>일</v>
      </c>
      <c r="D1049" s="3">
        <v>45158</v>
      </c>
      <c r="E1049" s="7">
        <v>0</v>
      </c>
      <c r="F1049" s="2">
        <v>0</v>
      </c>
      <c r="I1049" s="1">
        <f>+COUNTIF(F$3:$F1049,F1049)</f>
        <v>279</v>
      </c>
      <c r="K1049" s="132" t="str">
        <f t="shared" si="82"/>
        <v>주말</v>
      </c>
    </row>
    <row r="1050" spans="1:11" ht="21.75" customHeight="1" x14ac:dyDescent="0.25">
      <c r="A1050" s="2">
        <f t="shared" si="79"/>
        <v>2023</v>
      </c>
      <c r="B1050" s="2">
        <f t="shared" si="80"/>
        <v>8</v>
      </c>
      <c r="C1050" s="2" t="str">
        <f t="shared" si="81"/>
        <v>월</v>
      </c>
      <c r="D1050" s="3">
        <v>45159</v>
      </c>
      <c r="E1050" s="7">
        <v>0</v>
      </c>
      <c r="F1050" s="2">
        <v>0</v>
      </c>
      <c r="I1050" s="1">
        <f>+COUNTIF(F$3:$F1050,F1050)</f>
        <v>280</v>
      </c>
      <c r="K1050" s="132" t="str">
        <f t="shared" si="82"/>
        <v>평일</v>
      </c>
    </row>
    <row r="1051" spans="1:11" ht="21.75" customHeight="1" x14ac:dyDescent="0.25">
      <c r="A1051" s="2">
        <f t="shared" si="79"/>
        <v>2023</v>
      </c>
      <c r="B1051" s="2">
        <f t="shared" si="80"/>
        <v>8</v>
      </c>
      <c r="C1051" s="2" t="str">
        <f t="shared" si="81"/>
        <v>화</v>
      </c>
      <c r="D1051" s="3">
        <v>45160</v>
      </c>
      <c r="E1051" s="7">
        <v>0</v>
      </c>
      <c r="F1051" s="2">
        <v>0</v>
      </c>
      <c r="I1051" s="1">
        <f>+COUNTIF(F$3:$F1051,F1051)</f>
        <v>281</v>
      </c>
      <c r="K1051" s="132" t="str">
        <f t="shared" si="82"/>
        <v>평일</v>
      </c>
    </row>
    <row r="1052" spans="1:11" ht="21.75" customHeight="1" x14ac:dyDescent="0.25">
      <c r="A1052" s="2">
        <f t="shared" si="79"/>
        <v>2023</v>
      </c>
      <c r="B1052" s="2">
        <f t="shared" si="80"/>
        <v>8</v>
      </c>
      <c r="C1052" s="2" t="str">
        <f t="shared" si="81"/>
        <v>수</v>
      </c>
      <c r="D1052" s="3">
        <v>45161</v>
      </c>
      <c r="E1052" s="7">
        <v>0</v>
      </c>
      <c r="F1052" s="2">
        <v>0</v>
      </c>
      <c r="I1052" s="1">
        <f>+COUNTIF(F$3:$F1052,F1052)</f>
        <v>282</v>
      </c>
      <c r="K1052" s="132" t="str">
        <f t="shared" si="82"/>
        <v>평일</v>
      </c>
    </row>
    <row r="1053" spans="1:11" ht="21.75" customHeight="1" x14ac:dyDescent="0.25">
      <c r="A1053" s="2">
        <f t="shared" si="79"/>
        <v>2023</v>
      </c>
      <c r="B1053" s="2">
        <f t="shared" si="80"/>
        <v>8</v>
      </c>
      <c r="C1053" s="2" t="str">
        <f t="shared" si="81"/>
        <v>목</v>
      </c>
      <c r="D1053" s="3">
        <v>45162</v>
      </c>
      <c r="E1053" s="7">
        <v>0</v>
      </c>
      <c r="F1053" s="2">
        <v>0</v>
      </c>
      <c r="I1053" s="1">
        <f>+COUNTIF(F$3:$F1053,F1053)</f>
        <v>283</v>
      </c>
      <c r="K1053" s="132" t="str">
        <f t="shared" si="82"/>
        <v>평일</v>
      </c>
    </row>
    <row r="1054" spans="1:11" ht="21.75" customHeight="1" x14ac:dyDescent="0.25">
      <c r="A1054" s="2">
        <f t="shared" si="79"/>
        <v>2023</v>
      </c>
      <c r="B1054" s="2">
        <f t="shared" si="80"/>
        <v>8</v>
      </c>
      <c r="C1054" s="2" t="str">
        <f t="shared" si="81"/>
        <v>금</v>
      </c>
      <c r="D1054" s="3">
        <v>45163</v>
      </c>
      <c r="E1054" s="7">
        <v>0</v>
      </c>
      <c r="F1054" s="2">
        <v>0</v>
      </c>
      <c r="I1054" s="1">
        <f>+COUNTIF(F$3:$F1054,F1054)</f>
        <v>284</v>
      </c>
      <c r="K1054" s="132" t="str">
        <f t="shared" si="82"/>
        <v>평일</v>
      </c>
    </row>
    <row r="1055" spans="1:11" ht="21.75" customHeight="1" x14ac:dyDescent="0.25">
      <c r="A1055" s="2">
        <f t="shared" si="79"/>
        <v>2023</v>
      </c>
      <c r="B1055" s="2">
        <f t="shared" si="80"/>
        <v>8</v>
      </c>
      <c r="C1055" s="2" t="str">
        <f t="shared" si="81"/>
        <v>토</v>
      </c>
      <c r="D1055" s="3">
        <v>45164</v>
      </c>
      <c r="E1055" s="7">
        <v>0</v>
      </c>
      <c r="F1055" s="2">
        <v>0</v>
      </c>
      <c r="I1055" s="1">
        <f>+COUNTIF(F$3:$F1055,F1055)</f>
        <v>285</v>
      </c>
      <c r="K1055" s="132" t="str">
        <f t="shared" si="82"/>
        <v>주말</v>
      </c>
    </row>
    <row r="1056" spans="1:11" ht="21.75" customHeight="1" x14ac:dyDescent="0.25">
      <c r="A1056" s="2">
        <f t="shared" si="79"/>
        <v>2023</v>
      </c>
      <c r="B1056" s="2">
        <f t="shared" si="80"/>
        <v>8</v>
      </c>
      <c r="C1056" s="2" t="str">
        <f t="shared" si="81"/>
        <v>일</v>
      </c>
      <c r="D1056" s="3">
        <v>45165</v>
      </c>
      <c r="E1056" s="7">
        <v>0</v>
      </c>
      <c r="F1056" s="2">
        <v>0</v>
      </c>
      <c r="I1056" s="1">
        <f>+COUNTIF(F$3:$F1056,F1056)</f>
        <v>286</v>
      </c>
      <c r="K1056" s="132" t="str">
        <f t="shared" si="82"/>
        <v>주말</v>
      </c>
    </row>
    <row r="1057" spans="1:11" ht="21.75" customHeight="1" x14ac:dyDescent="0.25">
      <c r="A1057" s="2">
        <f t="shared" si="79"/>
        <v>2023</v>
      </c>
      <c r="B1057" s="2">
        <f t="shared" si="80"/>
        <v>8</v>
      </c>
      <c r="C1057" s="2" t="str">
        <f t="shared" si="81"/>
        <v>월</v>
      </c>
      <c r="D1057" s="3">
        <v>45166</v>
      </c>
      <c r="E1057" s="7">
        <v>0</v>
      </c>
      <c r="F1057" s="2">
        <v>0</v>
      </c>
      <c r="I1057" s="1">
        <f>+COUNTIF(F$3:$F1057,F1057)</f>
        <v>287</v>
      </c>
      <c r="K1057" s="132" t="str">
        <f t="shared" si="82"/>
        <v>평일</v>
      </c>
    </row>
    <row r="1058" spans="1:11" ht="21.75" customHeight="1" x14ac:dyDescent="0.25">
      <c r="A1058" s="2">
        <f t="shared" si="79"/>
        <v>2023</v>
      </c>
      <c r="B1058" s="2">
        <f t="shared" si="80"/>
        <v>8</v>
      </c>
      <c r="C1058" s="2" t="str">
        <f t="shared" si="81"/>
        <v>화</v>
      </c>
      <c r="D1058" s="3">
        <v>45167</v>
      </c>
      <c r="E1058" s="7">
        <v>0</v>
      </c>
      <c r="F1058" s="2">
        <v>0</v>
      </c>
      <c r="I1058" s="1">
        <f>+COUNTIF(F$3:$F1058,F1058)</f>
        <v>288</v>
      </c>
      <c r="K1058" s="132" t="str">
        <f t="shared" si="82"/>
        <v>평일</v>
      </c>
    </row>
    <row r="1059" spans="1:11" ht="21.75" customHeight="1" x14ac:dyDescent="0.25">
      <c r="A1059" s="2">
        <f t="shared" si="79"/>
        <v>2023</v>
      </c>
      <c r="B1059" s="2">
        <f t="shared" si="80"/>
        <v>8</v>
      </c>
      <c r="C1059" s="2" t="str">
        <f t="shared" si="81"/>
        <v>수</v>
      </c>
      <c r="D1059" s="3">
        <v>45168</v>
      </c>
      <c r="E1059" s="7">
        <v>0</v>
      </c>
      <c r="F1059" s="2">
        <v>0</v>
      </c>
      <c r="I1059" s="1">
        <f>+COUNTIF(F$3:$F1059,F1059)</f>
        <v>289</v>
      </c>
      <c r="K1059" s="132" t="str">
        <f t="shared" si="82"/>
        <v>평일</v>
      </c>
    </row>
    <row r="1060" spans="1:11" ht="21.75" customHeight="1" x14ac:dyDescent="0.25">
      <c r="A1060" s="2">
        <f t="shared" si="79"/>
        <v>2023</v>
      </c>
      <c r="B1060" s="2">
        <f t="shared" si="80"/>
        <v>8</v>
      </c>
      <c r="C1060" s="2" t="str">
        <f t="shared" si="81"/>
        <v>목</v>
      </c>
      <c r="D1060" s="3">
        <v>45169</v>
      </c>
      <c r="E1060" s="7">
        <v>0</v>
      </c>
      <c r="F1060" s="2">
        <v>0</v>
      </c>
      <c r="I1060" s="1">
        <f>+COUNTIF(F$3:$F1060,F1060)</f>
        <v>290</v>
      </c>
      <c r="K1060" s="132" t="str">
        <f t="shared" si="82"/>
        <v>평일</v>
      </c>
    </row>
    <row r="1061" spans="1:11" ht="21.75" customHeight="1" x14ac:dyDescent="0.25">
      <c r="A1061" s="2">
        <f t="shared" si="79"/>
        <v>2023</v>
      </c>
      <c r="B1061" s="2">
        <f t="shared" si="80"/>
        <v>9</v>
      </c>
      <c r="C1061" s="2" t="str">
        <f t="shared" si="81"/>
        <v>금</v>
      </c>
      <c r="D1061" s="3">
        <v>45170</v>
      </c>
      <c r="E1061" s="7">
        <v>0</v>
      </c>
      <c r="F1061" s="2">
        <v>0</v>
      </c>
      <c r="I1061" s="1">
        <f>+COUNTIF(F$3:$F1061,F1061)</f>
        <v>291</v>
      </c>
      <c r="K1061" s="132" t="str">
        <f t="shared" si="82"/>
        <v>평일</v>
      </c>
    </row>
    <row r="1062" spans="1:11" ht="21.75" customHeight="1" x14ac:dyDescent="0.25">
      <c r="A1062" s="2">
        <f t="shared" si="79"/>
        <v>2023</v>
      </c>
      <c r="B1062" s="2">
        <f t="shared" si="80"/>
        <v>9</v>
      </c>
      <c r="C1062" s="2" t="str">
        <f t="shared" si="81"/>
        <v>토</v>
      </c>
      <c r="D1062" s="3">
        <v>45171</v>
      </c>
      <c r="E1062" s="7">
        <v>0</v>
      </c>
      <c r="F1062" s="2">
        <v>0</v>
      </c>
      <c r="I1062" s="1">
        <f>+COUNTIF(F$3:$F1062,F1062)</f>
        <v>292</v>
      </c>
      <c r="K1062" s="132" t="str">
        <f t="shared" si="82"/>
        <v>주말</v>
      </c>
    </row>
    <row r="1063" spans="1:11" ht="21.75" customHeight="1" x14ac:dyDescent="0.25">
      <c r="A1063" s="2">
        <f t="shared" si="79"/>
        <v>2023</v>
      </c>
      <c r="B1063" s="2">
        <f t="shared" si="80"/>
        <v>9</v>
      </c>
      <c r="C1063" s="2" t="str">
        <f t="shared" si="81"/>
        <v>일</v>
      </c>
      <c r="D1063" s="3">
        <v>45172</v>
      </c>
      <c r="E1063" s="7">
        <v>0</v>
      </c>
      <c r="F1063" s="2">
        <v>0</v>
      </c>
      <c r="I1063" s="1">
        <f>+COUNTIF(F$3:$F1063,F1063)</f>
        <v>293</v>
      </c>
      <c r="K1063" s="132" t="str">
        <f t="shared" si="82"/>
        <v>주말</v>
      </c>
    </row>
    <row r="1064" spans="1:11" ht="21.75" customHeight="1" x14ac:dyDescent="0.25">
      <c r="A1064" s="2">
        <f t="shared" si="79"/>
        <v>2023</v>
      </c>
      <c r="B1064" s="2">
        <f t="shared" si="80"/>
        <v>9</v>
      </c>
      <c r="C1064" s="2" t="str">
        <f t="shared" si="81"/>
        <v>월</v>
      </c>
      <c r="D1064" s="3">
        <v>45173</v>
      </c>
      <c r="E1064" s="7">
        <v>0</v>
      </c>
      <c r="F1064" s="2">
        <v>0</v>
      </c>
      <c r="I1064" s="1">
        <f>+COUNTIF(F$3:$F1064,F1064)</f>
        <v>294</v>
      </c>
      <c r="K1064" s="132" t="str">
        <f t="shared" si="82"/>
        <v>평일</v>
      </c>
    </row>
    <row r="1065" spans="1:11" ht="21.75" customHeight="1" x14ac:dyDescent="0.25">
      <c r="A1065" s="2">
        <f t="shared" si="79"/>
        <v>2023</v>
      </c>
      <c r="B1065" s="2">
        <f t="shared" si="80"/>
        <v>9</v>
      </c>
      <c r="C1065" s="2" t="str">
        <f t="shared" si="81"/>
        <v>화</v>
      </c>
      <c r="D1065" s="3">
        <v>45174</v>
      </c>
      <c r="E1065" s="7">
        <v>0</v>
      </c>
      <c r="F1065" s="2">
        <v>0</v>
      </c>
      <c r="I1065" s="1">
        <f>+COUNTIF(F$3:$F1065,F1065)</f>
        <v>295</v>
      </c>
      <c r="K1065" s="132" t="str">
        <f t="shared" si="82"/>
        <v>평일</v>
      </c>
    </row>
    <row r="1066" spans="1:11" ht="21.75" customHeight="1" x14ac:dyDescent="0.25">
      <c r="A1066" s="2">
        <f t="shared" si="79"/>
        <v>2023</v>
      </c>
      <c r="B1066" s="2">
        <f t="shared" si="80"/>
        <v>9</v>
      </c>
      <c r="C1066" s="2" t="str">
        <f t="shared" si="81"/>
        <v>수</v>
      </c>
      <c r="D1066" s="3">
        <v>45175</v>
      </c>
      <c r="E1066" s="7">
        <v>0</v>
      </c>
      <c r="F1066" s="2">
        <v>0</v>
      </c>
      <c r="I1066" s="1">
        <f>+COUNTIF(F$3:$F1066,F1066)</f>
        <v>296</v>
      </c>
      <c r="K1066" s="132" t="str">
        <f t="shared" si="82"/>
        <v>평일</v>
      </c>
    </row>
    <row r="1067" spans="1:11" ht="21.75" customHeight="1" x14ac:dyDescent="0.25">
      <c r="A1067" s="2">
        <f t="shared" si="79"/>
        <v>2023</v>
      </c>
      <c r="B1067" s="2">
        <f t="shared" si="80"/>
        <v>9</v>
      </c>
      <c r="C1067" s="2" t="str">
        <f t="shared" si="81"/>
        <v>목</v>
      </c>
      <c r="D1067" s="3">
        <v>45176</v>
      </c>
      <c r="E1067" s="7">
        <v>0</v>
      </c>
      <c r="F1067" s="2">
        <v>0</v>
      </c>
      <c r="I1067" s="1">
        <f>+COUNTIF(F$3:$F1067,F1067)</f>
        <v>297</v>
      </c>
      <c r="K1067" s="132" t="str">
        <f t="shared" si="82"/>
        <v>평일</v>
      </c>
    </row>
    <row r="1068" spans="1:11" ht="21.75" customHeight="1" x14ac:dyDescent="0.25">
      <c r="A1068" s="2">
        <f t="shared" si="79"/>
        <v>2023</v>
      </c>
      <c r="B1068" s="2">
        <f t="shared" si="80"/>
        <v>9</v>
      </c>
      <c r="C1068" s="2" t="str">
        <f t="shared" si="81"/>
        <v>금</v>
      </c>
      <c r="D1068" s="3">
        <v>45177</v>
      </c>
      <c r="E1068" s="7">
        <v>0</v>
      </c>
      <c r="F1068" s="2">
        <v>0</v>
      </c>
      <c r="I1068" s="1">
        <f>+COUNTIF(F$3:$F1068,F1068)</f>
        <v>298</v>
      </c>
      <c r="K1068" s="132" t="str">
        <f t="shared" si="82"/>
        <v>평일</v>
      </c>
    </row>
    <row r="1069" spans="1:11" ht="21.75" customHeight="1" x14ac:dyDescent="0.25">
      <c r="A1069" s="2">
        <f t="shared" si="79"/>
        <v>2023</v>
      </c>
      <c r="B1069" s="2">
        <f t="shared" si="80"/>
        <v>9</v>
      </c>
      <c r="C1069" s="2" t="str">
        <f t="shared" si="81"/>
        <v>토</v>
      </c>
      <c r="D1069" s="3">
        <v>45178</v>
      </c>
      <c r="E1069" s="7">
        <v>0</v>
      </c>
      <c r="F1069" s="2">
        <v>0</v>
      </c>
      <c r="I1069" s="1">
        <f>+COUNTIF(F$3:$F1069,F1069)</f>
        <v>299</v>
      </c>
      <c r="K1069" s="132" t="str">
        <f t="shared" si="82"/>
        <v>주말</v>
      </c>
    </row>
    <row r="1070" spans="1:11" ht="21.75" customHeight="1" x14ac:dyDescent="0.25">
      <c r="A1070" s="2">
        <f t="shared" si="79"/>
        <v>2023</v>
      </c>
      <c r="B1070" s="2">
        <f t="shared" si="80"/>
        <v>9</v>
      </c>
      <c r="C1070" s="2" t="str">
        <f t="shared" si="81"/>
        <v>일</v>
      </c>
      <c r="D1070" s="3">
        <v>45179</v>
      </c>
      <c r="E1070" s="7">
        <v>0</v>
      </c>
      <c r="F1070" s="2">
        <v>0</v>
      </c>
      <c r="I1070" s="1">
        <f>+COUNTIF(F$3:$F1070,F1070)</f>
        <v>300</v>
      </c>
      <c r="K1070" s="132" t="str">
        <f t="shared" si="82"/>
        <v>주말</v>
      </c>
    </row>
    <row r="1071" spans="1:11" ht="21.75" customHeight="1" x14ac:dyDescent="0.25">
      <c r="A1071" s="2">
        <f t="shared" si="79"/>
        <v>2023</v>
      </c>
      <c r="B1071" s="2">
        <f t="shared" si="80"/>
        <v>9</v>
      </c>
      <c r="C1071" s="2" t="str">
        <f t="shared" si="81"/>
        <v>월</v>
      </c>
      <c r="D1071" s="3">
        <v>45180</v>
      </c>
      <c r="E1071" s="7">
        <v>0</v>
      </c>
      <c r="F1071" s="2">
        <v>0</v>
      </c>
      <c r="I1071" s="1">
        <f>+COUNTIF(F$3:$F1071,F1071)</f>
        <v>301</v>
      </c>
      <c r="K1071" s="132" t="str">
        <f t="shared" si="82"/>
        <v>평일</v>
      </c>
    </row>
    <row r="1072" spans="1:11" ht="21.75" customHeight="1" x14ac:dyDescent="0.25">
      <c r="A1072" s="2">
        <f t="shared" si="79"/>
        <v>2023</v>
      </c>
      <c r="B1072" s="2">
        <f t="shared" si="80"/>
        <v>9</v>
      </c>
      <c r="C1072" s="2" t="str">
        <f t="shared" si="81"/>
        <v>화</v>
      </c>
      <c r="D1072" s="3">
        <v>45181</v>
      </c>
      <c r="E1072" s="7">
        <v>0</v>
      </c>
      <c r="F1072" s="2">
        <v>0</v>
      </c>
      <c r="I1072" s="1">
        <f>+COUNTIF(F$3:$F1072,F1072)</f>
        <v>302</v>
      </c>
      <c r="K1072" s="132" t="str">
        <f t="shared" si="82"/>
        <v>평일</v>
      </c>
    </row>
    <row r="1073" spans="1:11" ht="21.75" customHeight="1" x14ac:dyDescent="0.25">
      <c r="A1073" s="2">
        <f t="shared" si="79"/>
        <v>2023</v>
      </c>
      <c r="B1073" s="2">
        <f t="shared" si="80"/>
        <v>9</v>
      </c>
      <c r="C1073" s="2" t="str">
        <f t="shared" si="81"/>
        <v>수</v>
      </c>
      <c r="D1073" s="3">
        <v>45182</v>
      </c>
      <c r="E1073" s="7">
        <v>0</v>
      </c>
      <c r="F1073" s="2">
        <v>0</v>
      </c>
      <c r="I1073" s="1">
        <f>+COUNTIF(F$3:$F1073,F1073)</f>
        <v>303</v>
      </c>
      <c r="K1073" s="132" t="str">
        <f t="shared" si="82"/>
        <v>평일</v>
      </c>
    </row>
    <row r="1074" spans="1:11" ht="21.75" customHeight="1" x14ac:dyDescent="0.25">
      <c r="A1074" s="2">
        <f t="shared" si="79"/>
        <v>2023</v>
      </c>
      <c r="B1074" s="2">
        <f t="shared" si="80"/>
        <v>9</v>
      </c>
      <c r="C1074" s="2" t="str">
        <f t="shared" si="81"/>
        <v>목</v>
      </c>
      <c r="D1074" s="3">
        <v>45183</v>
      </c>
      <c r="E1074" s="7">
        <v>0</v>
      </c>
      <c r="F1074" s="2">
        <v>0</v>
      </c>
      <c r="I1074" s="1">
        <f>+COUNTIF(F$3:$F1074,F1074)</f>
        <v>304</v>
      </c>
      <c r="K1074" s="132" t="str">
        <f t="shared" si="82"/>
        <v>평일</v>
      </c>
    </row>
    <row r="1075" spans="1:11" ht="21.75" customHeight="1" x14ac:dyDescent="0.25">
      <c r="A1075" s="2">
        <f t="shared" si="79"/>
        <v>2023</v>
      </c>
      <c r="B1075" s="2">
        <f t="shared" si="80"/>
        <v>9</v>
      </c>
      <c r="C1075" s="2" t="str">
        <f t="shared" si="81"/>
        <v>금</v>
      </c>
      <c r="D1075" s="3">
        <v>45184</v>
      </c>
      <c r="E1075" s="7">
        <v>0</v>
      </c>
      <c r="F1075" s="2">
        <v>0</v>
      </c>
      <c r="I1075" s="1">
        <f>+COUNTIF(F$3:$F1075,F1075)</f>
        <v>305</v>
      </c>
      <c r="K1075" s="132" t="str">
        <f t="shared" si="82"/>
        <v>평일</v>
      </c>
    </row>
    <row r="1076" spans="1:11" ht="21.75" customHeight="1" x14ac:dyDescent="0.25">
      <c r="A1076" s="2">
        <f t="shared" si="79"/>
        <v>2023</v>
      </c>
      <c r="B1076" s="2">
        <f t="shared" si="80"/>
        <v>9</v>
      </c>
      <c r="C1076" s="2" t="str">
        <f t="shared" si="81"/>
        <v>토</v>
      </c>
      <c r="D1076" s="3">
        <v>45185</v>
      </c>
      <c r="E1076" s="7">
        <v>0</v>
      </c>
      <c r="F1076" s="2">
        <v>0</v>
      </c>
      <c r="I1076" s="1">
        <f>+COUNTIF(F$3:$F1076,F1076)</f>
        <v>306</v>
      </c>
      <c r="K1076" s="132" t="str">
        <f t="shared" si="82"/>
        <v>주말</v>
      </c>
    </row>
    <row r="1077" spans="1:11" ht="21.75" customHeight="1" x14ac:dyDescent="0.25">
      <c r="A1077" s="2">
        <f t="shared" si="79"/>
        <v>2023</v>
      </c>
      <c r="B1077" s="2">
        <f t="shared" si="80"/>
        <v>9</v>
      </c>
      <c r="C1077" s="2" t="str">
        <f t="shared" si="81"/>
        <v>일</v>
      </c>
      <c r="D1077" s="3">
        <v>45186</v>
      </c>
      <c r="E1077" s="7">
        <v>0</v>
      </c>
      <c r="F1077" s="2">
        <v>0</v>
      </c>
      <c r="I1077" s="1">
        <f>+COUNTIF(F$3:$F1077,F1077)</f>
        <v>307</v>
      </c>
      <c r="K1077" s="132" t="str">
        <f t="shared" si="82"/>
        <v>주말</v>
      </c>
    </row>
    <row r="1078" spans="1:11" ht="21.75" customHeight="1" x14ac:dyDescent="0.25">
      <c r="A1078" s="2">
        <f t="shared" si="79"/>
        <v>2023</v>
      </c>
      <c r="B1078" s="2">
        <f t="shared" si="80"/>
        <v>9</v>
      </c>
      <c r="C1078" s="2" t="str">
        <f t="shared" si="81"/>
        <v>월</v>
      </c>
      <c r="D1078" s="3">
        <v>45187</v>
      </c>
      <c r="E1078" s="7">
        <v>0</v>
      </c>
      <c r="F1078" s="2">
        <v>0</v>
      </c>
      <c r="I1078" s="1">
        <f>+COUNTIF(F$3:$F1078,F1078)</f>
        <v>308</v>
      </c>
      <c r="K1078" s="132" t="str">
        <f t="shared" si="82"/>
        <v>평일</v>
      </c>
    </row>
    <row r="1079" spans="1:11" ht="21.75" customHeight="1" x14ac:dyDescent="0.25">
      <c r="A1079" s="2">
        <f t="shared" si="79"/>
        <v>2023</v>
      </c>
      <c r="B1079" s="2">
        <f t="shared" si="80"/>
        <v>9</v>
      </c>
      <c r="C1079" s="2" t="str">
        <f t="shared" si="81"/>
        <v>화</v>
      </c>
      <c r="D1079" s="3">
        <v>45188</v>
      </c>
      <c r="E1079" s="7">
        <v>0</v>
      </c>
      <c r="F1079" s="2">
        <v>0</v>
      </c>
      <c r="I1079" s="1">
        <f>+COUNTIF(F$3:$F1079,F1079)</f>
        <v>309</v>
      </c>
      <c r="K1079" s="132" t="str">
        <f t="shared" si="82"/>
        <v>평일</v>
      </c>
    </row>
    <row r="1080" spans="1:11" ht="21.75" customHeight="1" x14ac:dyDescent="0.25">
      <c r="A1080" s="2">
        <f t="shared" si="79"/>
        <v>2023</v>
      </c>
      <c r="B1080" s="2">
        <f t="shared" si="80"/>
        <v>9</v>
      </c>
      <c r="C1080" s="2" t="str">
        <f t="shared" si="81"/>
        <v>수</v>
      </c>
      <c r="D1080" s="3">
        <v>45189</v>
      </c>
      <c r="E1080" s="7">
        <v>0</v>
      </c>
      <c r="F1080" s="2">
        <v>0</v>
      </c>
      <c r="I1080" s="1">
        <f>+COUNTIF(F$3:$F1080,F1080)</f>
        <v>310</v>
      </c>
      <c r="K1080" s="132" t="str">
        <f t="shared" si="82"/>
        <v>평일</v>
      </c>
    </row>
    <row r="1081" spans="1:11" ht="21.75" customHeight="1" x14ac:dyDescent="0.25">
      <c r="A1081" s="2">
        <f t="shared" si="79"/>
        <v>2023</v>
      </c>
      <c r="B1081" s="2">
        <f t="shared" si="80"/>
        <v>9</v>
      </c>
      <c r="C1081" s="2" t="str">
        <f t="shared" si="81"/>
        <v>목</v>
      </c>
      <c r="D1081" s="3">
        <v>45190</v>
      </c>
      <c r="E1081" s="7">
        <v>0</v>
      </c>
      <c r="F1081" s="2">
        <v>0</v>
      </c>
      <c r="I1081" s="1">
        <f>+COUNTIF(F$3:$F1081,F1081)</f>
        <v>311</v>
      </c>
      <c r="K1081" s="132" t="str">
        <f t="shared" si="82"/>
        <v>평일</v>
      </c>
    </row>
    <row r="1082" spans="1:11" ht="21.75" customHeight="1" x14ac:dyDescent="0.25">
      <c r="A1082" s="2">
        <f t="shared" si="79"/>
        <v>2023</v>
      </c>
      <c r="B1082" s="2">
        <f t="shared" si="80"/>
        <v>9</v>
      </c>
      <c r="C1082" s="2" t="str">
        <f t="shared" si="81"/>
        <v>금</v>
      </c>
      <c r="D1082" s="3">
        <v>45191</v>
      </c>
      <c r="E1082" s="7">
        <v>0</v>
      </c>
      <c r="F1082" s="2">
        <v>0</v>
      </c>
      <c r="I1082" s="1">
        <f>+COUNTIF(F$3:$F1082,F1082)</f>
        <v>312</v>
      </c>
      <c r="K1082" s="132" t="str">
        <f t="shared" si="82"/>
        <v>평일</v>
      </c>
    </row>
    <row r="1083" spans="1:11" ht="21.75" customHeight="1" x14ac:dyDescent="0.25">
      <c r="A1083" s="2">
        <f t="shared" si="79"/>
        <v>2023</v>
      </c>
      <c r="B1083" s="2">
        <f t="shared" si="80"/>
        <v>9</v>
      </c>
      <c r="C1083" s="2" t="str">
        <f t="shared" si="81"/>
        <v>토</v>
      </c>
      <c r="D1083" s="3">
        <v>45192</v>
      </c>
      <c r="E1083" s="7">
        <v>0</v>
      </c>
      <c r="F1083" s="2">
        <v>0</v>
      </c>
      <c r="I1083" s="1">
        <f>+COUNTIF(F$3:$F1083,F1083)</f>
        <v>313</v>
      </c>
      <c r="K1083" s="132" t="str">
        <f t="shared" si="82"/>
        <v>주말</v>
      </c>
    </row>
    <row r="1084" spans="1:11" ht="21.75" customHeight="1" x14ac:dyDescent="0.25">
      <c r="A1084" s="2">
        <f t="shared" si="79"/>
        <v>2023</v>
      </c>
      <c r="B1084" s="2">
        <f t="shared" si="80"/>
        <v>9</v>
      </c>
      <c r="C1084" s="2" t="str">
        <f t="shared" si="81"/>
        <v>일</v>
      </c>
      <c r="D1084" s="3">
        <v>45193</v>
      </c>
      <c r="E1084" s="7">
        <v>0</v>
      </c>
      <c r="F1084" s="2">
        <v>0</v>
      </c>
      <c r="I1084" s="1">
        <f>+COUNTIF(F$3:$F1084,F1084)</f>
        <v>314</v>
      </c>
      <c r="K1084" s="132" t="str">
        <f t="shared" si="82"/>
        <v>주말</v>
      </c>
    </row>
    <row r="1085" spans="1:11" ht="21.75" customHeight="1" x14ac:dyDescent="0.25">
      <c r="A1085" s="2">
        <f t="shared" si="79"/>
        <v>2023</v>
      </c>
      <c r="B1085" s="2">
        <f t="shared" si="80"/>
        <v>9</v>
      </c>
      <c r="C1085" s="2" t="str">
        <f t="shared" si="81"/>
        <v>월</v>
      </c>
      <c r="D1085" s="3">
        <v>45194</v>
      </c>
      <c r="E1085" s="7">
        <v>0</v>
      </c>
      <c r="F1085" s="2">
        <v>0</v>
      </c>
      <c r="I1085" s="1">
        <f>+COUNTIF(F$3:$F1085,F1085)</f>
        <v>315</v>
      </c>
      <c r="K1085" s="132" t="str">
        <f t="shared" si="82"/>
        <v>평일</v>
      </c>
    </row>
    <row r="1086" spans="1:11" ht="21.75" customHeight="1" x14ac:dyDescent="0.25">
      <c r="A1086" s="2">
        <f t="shared" si="79"/>
        <v>2023</v>
      </c>
      <c r="B1086" s="2">
        <f t="shared" si="80"/>
        <v>9</v>
      </c>
      <c r="C1086" s="2" t="str">
        <f t="shared" si="81"/>
        <v>화</v>
      </c>
      <c r="D1086" s="3">
        <v>45195</v>
      </c>
      <c r="E1086" s="7">
        <v>227</v>
      </c>
      <c r="F1086" s="2" t="s">
        <v>14</v>
      </c>
      <c r="G1086" s="1">
        <v>31</v>
      </c>
      <c r="H1086" s="6">
        <f>+E1086-G1086</f>
        <v>196</v>
      </c>
      <c r="I1086" s="1">
        <f>+COUNTIF(F$3:$F1086,F1086)</f>
        <v>1</v>
      </c>
      <c r="K1086" s="132" t="str">
        <f t="shared" si="82"/>
        <v>평일</v>
      </c>
    </row>
    <row r="1087" spans="1:11" ht="21.75" customHeight="1" x14ac:dyDescent="0.25">
      <c r="A1087" s="2">
        <f t="shared" si="79"/>
        <v>2023</v>
      </c>
      <c r="B1087" s="2">
        <f t="shared" si="80"/>
        <v>9</v>
      </c>
      <c r="C1087" s="2" t="str">
        <f t="shared" si="81"/>
        <v>수</v>
      </c>
      <c r="D1087" s="3">
        <v>45196</v>
      </c>
      <c r="E1087" s="7">
        <v>274</v>
      </c>
      <c r="F1087" s="2" t="s">
        <v>14</v>
      </c>
      <c r="G1087" s="1">
        <v>21</v>
      </c>
      <c r="H1087" s="6">
        <f t="shared" ref="H1087:H1150" si="83">+E1087-G1087</f>
        <v>253</v>
      </c>
      <c r="I1087" s="1">
        <f>+COUNTIF(F$3:$F1087,F1087)</f>
        <v>2</v>
      </c>
      <c r="K1087" s="132" t="str">
        <f t="shared" si="82"/>
        <v>평일</v>
      </c>
    </row>
    <row r="1088" spans="1:11" ht="21.75" customHeight="1" x14ac:dyDescent="0.25">
      <c r="A1088" s="2">
        <f t="shared" si="79"/>
        <v>2023</v>
      </c>
      <c r="B1088" s="2">
        <f t="shared" si="80"/>
        <v>9</v>
      </c>
      <c r="C1088" s="2" t="str">
        <f t="shared" si="81"/>
        <v>목</v>
      </c>
      <c r="D1088" s="3">
        <v>45197</v>
      </c>
      <c r="E1088" s="7">
        <v>124</v>
      </c>
      <c r="F1088" s="2" t="s">
        <v>14</v>
      </c>
      <c r="G1088" s="1">
        <v>24</v>
      </c>
      <c r="H1088" s="6">
        <f t="shared" si="83"/>
        <v>100</v>
      </c>
      <c r="I1088" s="1">
        <f>+COUNTIF(F$3:$F1088,F1088)</f>
        <v>3</v>
      </c>
      <c r="K1088" s="132" t="str">
        <f t="shared" si="82"/>
        <v>평일</v>
      </c>
    </row>
    <row r="1089" spans="1:11" ht="21.75" customHeight="1" x14ac:dyDescent="0.25">
      <c r="A1089" s="2">
        <f t="shared" si="79"/>
        <v>2023</v>
      </c>
      <c r="B1089" s="2">
        <f t="shared" si="80"/>
        <v>9</v>
      </c>
      <c r="C1089" s="2" t="str">
        <f t="shared" si="81"/>
        <v>금</v>
      </c>
      <c r="D1089" s="3">
        <v>45198</v>
      </c>
      <c r="E1089" s="7">
        <v>105</v>
      </c>
      <c r="F1089" s="2" t="s">
        <v>14</v>
      </c>
      <c r="G1089" s="1">
        <v>10</v>
      </c>
      <c r="H1089" s="6">
        <f t="shared" si="83"/>
        <v>95</v>
      </c>
      <c r="I1089" s="1">
        <f>+COUNTIF(F$3:$F1089,F1089)</f>
        <v>4</v>
      </c>
      <c r="K1089" s="132" t="str">
        <f t="shared" si="82"/>
        <v>평일</v>
      </c>
    </row>
    <row r="1090" spans="1:11" ht="21.75" customHeight="1" x14ac:dyDescent="0.25">
      <c r="A1090" s="2">
        <f t="shared" si="79"/>
        <v>2023</v>
      </c>
      <c r="B1090" s="2">
        <f t="shared" si="80"/>
        <v>9</v>
      </c>
      <c r="C1090" s="2" t="str">
        <f t="shared" si="81"/>
        <v>토</v>
      </c>
      <c r="D1090" s="3">
        <v>45199</v>
      </c>
      <c r="E1090" s="7">
        <v>413</v>
      </c>
      <c r="F1090" s="2" t="s">
        <v>14</v>
      </c>
      <c r="G1090" s="1">
        <v>33</v>
      </c>
      <c r="H1090" s="6">
        <f t="shared" si="83"/>
        <v>380</v>
      </c>
      <c r="I1090" s="1">
        <f>+COUNTIF(F$3:$F1090,F1090)</f>
        <v>5</v>
      </c>
      <c r="K1090" s="132" t="str">
        <f t="shared" si="82"/>
        <v>주말</v>
      </c>
    </row>
    <row r="1091" spans="1:11" ht="21.75" customHeight="1" x14ac:dyDescent="0.25">
      <c r="A1091" s="2">
        <f t="shared" si="79"/>
        <v>2023</v>
      </c>
      <c r="B1091" s="2">
        <f t="shared" si="80"/>
        <v>10</v>
      </c>
      <c r="C1091" s="2" t="str">
        <f t="shared" si="81"/>
        <v>일</v>
      </c>
      <c r="D1091" s="3">
        <v>45200</v>
      </c>
      <c r="E1091" s="7">
        <v>305</v>
      </c>
      <c r="F1091" s="2" t="s">
        <v>14</v>
      </c>
      <c r="G1091" s="1">
        <v>40</v>
      </c>
      <c r="H1091" s="6">
        <f t="shared" si="83"/>
        <v>265</v>
      </c>
      <c r="I1091" s="1">
        <f>+COUNTIF(F$3:$F1091,F1091)</f>
        <v>6</v>
      </c>
      <c r="K1091" s="132" t="str">
        <f t="shared" si="82"/>
        <v>주말</v>
      </c>
    </row>
    <row r="1092" spans="1:11" ht="21.75" customHeight="1" x14ac:dyDescent="0.25">
      <c r="A1092" s="2">
        <f t="shared" ref="A1092:A1155" si="84">+YEAR(D1092)</f>
        <v>2023</v>
      </c>
      <c r="B1092" s="2">
        <f t="shared" ref="B1092:B1155" si="85">+MONTH(D1092)</f>
        <v>10</v>
      </c>
      <c r="C1092" s="2" t="str">
        <f t="shared" ref="C1092:C1155" si="86">+TEXT(D1092,"aaa")</f>
        <v>월</v>
      </c>
      <c r="D1092" s="3">
        <v>45201</v>
      </c>
      <c r="E1092" s="7">
        <v>349</v>
      </c>
      <c r="F1092" s="2" t="s">
        <v>14</v>
      </c>
      <c r="G1092" s="1">
        <v>30</v>
      </c>
      <c r="H1092" s="6">
        <f t="shared" si="83"/>
        <v>319</v>
      </c>
      <c r="I1092" s="1">
        <f>+COUNTIF(F$3:$F1092,F1092)</f>
        <v>7</v>
      </c>
      <c r="K1092" s="132" t="str">
        <f t="shared" ref="K1092:K1155" si="87">+IF(OR(C1092="토",C1092="일"),"주말","평일")</f>
        <v>평일</v>
      </c>
    </row>
    <row r="1093" spans="1:11" ht="21.75" customHeight="1" x14ac:dyDescent="0.25">
      <c r="A1093" s="2">
        <f t="shared" si="84"/>
        <v>2023</v>
      </c>
      <c r="B1093" s="2">
        <f t="shared" si="85"/>
        <v>10</v>
      </c>
      <c r="C1093" s="2" t="str">
        <f t="shared" si="86"/>
        <v>화</v>
      </c>
      <c r="D1093" s="3">
        <v>45202</v>
      </c>
      <c r="E1093" s="7">
        <v>336</v>
      </c>
      <c r="F1093" s="2" t="s">
        <v>14</v>
      </c>
      <c r="G1093" s="1">
        <v>32</v>
      </c>
      <c r="H1093" s="6">
        <f t="shared" si="83"/>
        <v>304</v>
      </c>
      <c r="I1093" s="1">
        <f>+COUNTIF(F$3:$F1093,F1093)</f>
        <v>8</v>
      </c>
      <c r="K1093" s="132" t="str">
        <f t="shared" si="87"/>
        <v>평일</v>
      </c>
    </row>
    <row r="1094" spans="1:11" ht="21.75" customHeight="1" x14ac:dyDescent="0.25">
      <c r="A1094" s="2">
        <f t="shared" si="84"/>
        <v>2023</v>
      </c>
      <c r="B1094" s="2">
        <f t="shared" si="85"/>
        <v>10</v>
      </c>
      <c r="C1094" s="2" t="str">
        <f t="shared" si="86"/>
        <v>수</v>
      </c>
      <c r="D1094" s="3">
        <v>45203</v>
      </c>
      <c r="E1094" s="7">
        <v>120</v>
      </c>
      <c r="F1094" s="2" t="s">
        <v>14</v>
      </c>
      <c r="G1094" s="1">
        <v>20</v>
      </c>
      <c r="H1094" s="6">
        <f t="shared" si="83"/>
        <v>100</v>
      </c>
      <c r="I1094" s="1">
        <f>+COUNTIF(F$3:$F1094,F1094)</f>
        <v>9</v>
      </c>
      <c r="K1094" s="132" t="str">
        <f t="shared" si="87"/>
        <v>평일</v>
      </c>
    </row>
    <row r="1095" spans="1:11" ht="21.75" customHeight="1" x14ac:dyDescent="0.25">
      <c r="A1095" s="2">
        <f t="shared" si="84"/>
        <v>2023</v>
      </c>
      <c r="B1095" s="2">
        <f t="shared" si="85"/>
        <v>10</v>
      </c>
      <c r="C1095" s="2" t="str">
        <f t="shared" si="86"/>
        <v>목</v>
      </c>
      <c r="D1095" s="3">
        <v>45204</v>
      </c>
      <c r="E1095" s="7">
        <v>96</v>
      </c>
      <c r="F1095" s="2" t="s">
        <v>14</v>
      </c>
      <c r="G1095" s="1">
        <v>3</v>
      </c>
      <c r="H1095" s="6">
        <f t="shared" si="83"/>
        <v>93</v>
      </c>
      <c r="I1095" s="1">
        <f>+COUNTIF(F$3:$F1095,F1095)</f>
        <v>10</v>
      </c>
      <c r="K1095" s="132" t="str">
        <f t="shared" si="87"/>
        <v>평일</v>
      </c>
    </row>
    <row r="1096" spans="1:11" ht="21.75" customHeight="1" x14ac:dyDescent="0.25">
      <c r="A1096" s="2">
        <f t="shared" si="84"/>
        <v>2023</v>
      </c>
      <c r="B1096" s="2">
        <f t="shared" si="85"/>
        <v>10</v>
      </c>
      <c r="C1096" s="2" t="str">
        <f t="shared" si="86"/>
        <v>금</v>
      </c>
      <c r="D1096" s="3">
        <v>45205</v>
      </c>
      <c r="E1096" s="7">
        <v>202</v>
      </c>
      <c r="F1096" s="2" t="s">
        <v>14</v>
      </c>
      <c r="G1096" s="1">
        <v>8</v>
      </c>
      <c r="H1096" s="6">
        <f t="shared" si="83"/>
        <v>194</v>
      </c>
      <c r="I1096" s="1">
        <f>+COUNTIF(F$3:$F1096,F1096)</f>
        <v>11</v>
      </c>
      <c r="K1096" s="132" t="str">
        <f t="shared" si="87"/>
        <v>평일</v>
      </c>
    </row>
    <row r="1097" spans="1:11" ht="21.75" customHeight="1" x14ac:dyDescent="0.25">
      <c r="A1097" s="2">
        <f t="shared" si="84"/>
        <v>2023</v>
      </c>
      <c r="B1097" s="2">
        <f t="shared" si="85"/>
        <v>10</v>
      </c>
      <c r="C1097" s="2" t="str">
        <f t="shared" si="86"/>
        <v>토</v>
      </c>
      <c r="D1097" s="3">
        <v>45206</v>
      </c>
      <c r="E1097" s="7">
        <v>383</v>
      </c>
      <c r="F1097" s="2" t="s">
        <v>14</v>
      </c>
      <c r="G1097" s="1">
        <v>39</v>
      </c>
      <c r="H1097" s="6">
        <f t="shared" si="83"/>
        <v>344</v>
      </c>
      <c r="I1097" s="1">
        <f>+COUNTIF(F$3:$F1097,F1097)</f>
        <v>12</v>
      </c>
      <c r="K1097" s="132" t="str">
        <f t="shared" si="87"/>
        <v>주말</v>
      </c>
    </row>
    <row r="1098" spans="1:11" ht="21.75" customHeight="1" x14ac:dyDescent="0.25">
      <c r="A1098" s="2">
        <f t="shared" si="84"/>
        <v>2023</v>
      </c>
      <c r="B1098" s="2">
        <f t="shared" si="85"/>
        <v>10</v>
      </c>
      <c r="C1098" s="2" t="str">
        <f t="shared" si="86"/>
        <v>일</v>
      </c>
      <c r="D1098" s="3">
        <v>45207</v>
      </c>
      <c r="E1098" s="7">
        <v>404</v>
      </c>
      <c r="F1098" s="2" t="s">
        <v>14</v>
      </c>
      <c r="G1098" s="1">
        <v>32</v>
      </c>
      <c r="H1098" s="6">
        <f t="shared" si="83"/>
        <v>372</v>
      </c>
      <c r="I1098" s="1">
        <f>+COUNTIF(F$3:$F1098,F1098)</f>
        <v>13</v>
      </c>
      <c r="K1098" s="132" t="str">
        <f t="shared" si="87"/>
        <v>주말</v>
      </c>
    </row>
    <row r="1099" spans="1:11" ht="21.75" customHeight="1" x14ac:dyDescent="0.25">
      <c r="A1099" s="2">
        <f t="shared" si="84"/>
        <v>2023</v>
      </c>
      <c r="B1099" s="2">
        <f t="shared" si="85"/>
        <v>10</v>
      </c>
      <c r="C1099" s="2" t="str">
        <f t="shared" si="86"/>
        <v>월</v>
      </c>
      <c r="D1099" s="3">
        <v>45208</v>
      </c>
      <c r="E1099" s="7">
        <v>371</v>
      </c>
      <c r="F1099" s="2" t="s">
        <v>14</v>
      </c>
      <c r="G1099" s="1">
        <v>35</v>
      </c>
      <c r="H1099" s="6">
        <f t="shared" si="83"/>
        <v>336</v>
      </c>
      <c r="I1099" s="1">
        <f>+COUNTIF(F$3:$F1099,F1099)</f>
        <v>14</v>
      </c>
      <c r="K1099" s="132" t="str">
        <f t="shared" si="87"/>
        <v>평일</v>
      </c>
    </row>
    <row r="1100" spans="1:11" ht="21.75" customHeight="1" x14ac:dyDescent="0.25">
      <c r="A1100" s="2">
        <f t="shared" si="84"/>
        <v>2023</v>
      </c>
      <c r="B1100" s="2">
        <f t="shared" si="85"/>
        <v>10</v>
      </c>
      <c r="C1100" s="2" t="str">
        <f t="shared" si="86"/>
        <v>화</v>
      </c>
      <c r="D1100" s="3">
        <v>45209</v>
      </c>
      <c r="E1100" s="7">
        <v>126</v>
      </c>
      <c r="F1100" s="2" t="s">
        <v>14</v>
      </c>
      <c r="G1100" s="1">
        <v>6</v>
      </c>
      <c r="H1100" s="6">
        <f t="shared" si="83"/>
        <v>120</v>
      </c>
      <c r="I1100" s="1">
        <f>+COUNTIF(F$3:$F1100,F1100)</f>
        <v>15</v>
      </c>
      <c r="K1100" s="132" t="str">
        <f t="shared" si="87"/>
        <v>평일</v>
      </c>
    </row>
    <row r="1101" spans="1:11" ht="21.75" customHeight="1" x14ac:dyDescent="0.25">
      <c r="A1101" s="2">
        <f t="shared" si="84"/>
        <v>2023</v>
      </c>
      <c r="B1101" s="2">
        <f t="shared" si="85"/>
        <v>10</v>
      </c>
      <c r="C1101" s="2" t="str">
        <f t="shared" si="86"/>
        <v>수</v>
      </c>
      <c r="D1101" s="3">
        <v>45210</v>
      </c>
      <c r="E1101" s="7">
        <v>99</v>
      </c>
      <c r="F1101" s="2" t="s">
        <v>14</v>
      </c>
      <c r="G1101" s="1">
        <v>8</v>
      </c>
      <c r="H1101" s="6">
        <f t="shared" si="83"/>
        <v>91</v>
      </c>
      <c r="I1101" s="1">
        <f>+COUNTIF(F$3:$F1101,F1101)</f>
        <v>16</v>
      </c>
      <c r="K1101" s="132" t="str">
        <f t="shared" si="87"/>
        <v>평일</v>
      </c>
    </row>
    <row r="1102" spans="1:11" ht="21.75" customHeight="1" x14ac:dyDescent="0.25">
      <c r="A1102" s="2">
        <f t="shared" si="84"/>
        <v>2023</v>
      </c>
      <c r="B1102" s="2">
        <f t="shared" si="85"/>
        <v>10</v>
      </c>
      <c r="C1102" s="2" t="str">
        <f t="shared" si="86"/>
        <v>목</v>
      </c>
      <c r="D1102" s="3">
        <v>45211</v>
      </c>
      <c r="E1102" s="7">
        <v>236</v>
      </c>
      <c r="F1102" s="2" t="s">
        <v>14</v>
      </c>
      <c r="G1102" s="1">
        <v>25</v>
      </c>
      <c r="H1102" s="6">
        <f t="shared" si="83"/>
        <v>211</v>
      </c>
      <c r="I1102" s="1">
        <f>+COUNTIF(F$3:$F1102,F1102)</f>
        <v>17</v>
      </c>
      <c r="K1102" s="132" t="str">
        <f t="shared" si="87"/>
        <v>평일</v>
      </c>
    </row>
    <row r="1103" spans="1:11" ht="21.75" customHeight="1" x14ac:dyDescent="0.25">
      <c r="A1103" s="2">
        <f t="shared" si="84"/>
        <v>2023</v>
      </c>
      <c r="B1103" s="2">
        <f t="shared" si="85"/>
        <v>10</v>
      </c>
      <c r="C1103" s="2" t="str">
        <f t="shared" si="86"/>
        <v>금</v>
      </c>
      <c r="D1103" s="3">
        <v>45212</v>
      </c>
      <c r="E1103" s="7">
        <v>189</v>
      </c>
      <c r="F1103" s="2" t="s">
        <v>14</v>
      </c>
      <c r="G1103" s="1">
        <v>21</v>
      </c>
      <c r="H1103" s="6">
        <f t="shared" si="83"/>
        <v>168</v>
      </c>
      <c r="I1103" s="1">
        <f>+COUNTIF(F$3:$F1103,F1103)</f>
        <v>18</v>
      </c>
      <c r="K1103" s="132" t="str">
        <f t="shared" si="87"/>
        <v>평일</v>
      </c>
    </row>
    <row r="1104" spans="1:11" ht="21.75" customHeight="1" x14ac:dyDescent="0.25">
      <c r="A1104" s="2">
        <f t="shared" si="84"/>
        <v>2023</v>
      </c>
      <c r="B1104" s="2">
        <f t="shared" si="85"/>
        <v>10</v>
      </c>
      <c r="C1104" s="2" t="str">
        <f t="shared" si="86"/>
        <v>토</v>
      </c>
      <c r="D1104" s="3">
        <v>45213</v>
      </c>
      <c r="E1104" s="7">
        <v>567</v>
      </c>
      <c r="F1104" s="2" t="s">
        <v>14</v>
      </c>
      <c r="G1104" s="1">
        <v>63</v>
      </c>
      <c r="H1104" s="6">
        <f t="shared" si="83"/>
        <v>504</v>
      </c>
      <c r="I1104" s="1">
        <f>+COUNTIF(F$3:$F1104,F1104)</f>
        <v>19</v>
      </c>
      <c r="K1104" s="132" t="str">
        <f t="shared" si="87"/>
        <v>주말</v>
      </c>
    </row>
    <row r="1105" spans="1:11" ht="21.75" customHeight="1" x14ac:dyDescent="0.25">
      <c r="A1105" s="2">
        <f t="shared" si="84"/>
        <v>2023</v>
      </c>
      <c r="B1105" s="2">
        <f t="shared" si="85"/>
        <v>10</v>
      </c>
      <c r="C1105" s="2" t="str">
        <f t="shared" si="86"/>
        <v>일</v>
      </c>
      <c r="D1105" s="3">
        <v>45214</v>
      </c>
      <c r="E1105" s="7">
        <v>341</v>
      </c>
      <c r="F1105" s="2" t="s">
        <v>14</v>
      </c>
      <c r="G1105" s="1">
        <v>38</v>
      </c>
      <c r="H1105" s="6">
        <f t="shared" si="83"/>
        <v>303</v>
      </c>
      <c r="I1105" s="1">
        <f>+COUNTIF(F$3:$F1105,F1105)</f>
        <v>20</v>
      </c>
      <c r="K1105" s="132" t="str">
        <f t="shared" si="87"/>
        <v>주말</v>
      </c>
    </row>
    <row r="1106" spans="1:11" ht="21.75" customHeight="1" x14ac:dyDescent="0.25">
      <c r="A1106" s="2">
        <f t="shared" si="84"/>
        <v>2023</v>
      </c>
      <c r="B1106" s="2">
        <f t="shared" si="85"/>
        <v>10</v>
      </c>
      <c r="C1106" s="2" t="str">
        <f t="shared" si="86"/>
        <v>월</v>
      </c>
      <c r="D1106" s="3">
        <v>45215</v>
      </c>
      <c r="E1106" s="7">
        <v>0</v>
      </c>
      <c r="F1106" s="2" t="s">
        <v>14</v>
      </c>
      <c r="G1106" s="1">
        <v>0</v>
      </c>
      <c r="H1106" s="6">
        <f t="shared" si="83"/>
        <v>0</v>
      </c>
      <c r="I1106" s="1">
        <f>+COUNTIF(F$3:$F1106,F1106)</f>
        <v>21</v>
      </c>
      <c r="K1106" s="132" t="str">
        <f t="shared" si="87"/>
        <v>평일</v>
      </c>
    </row>
    <row r="1107" spans="1:11" ht="21.75" customHeight="1" x14ac:dyDescent="0.25">
      <c r="A1107" s="2">
        <f t="shared" si="84"/>
        <v>2023</v>
      </c>
      <c r="B1107" s="2">
        <f t="shared" si="85"/>
        <v>10</v>
      </c>
      <c r="C1107" s="2" t="str">
        <f t="shared" si="86"/>
        <v>화</v>
      </c>
      <c r="D1107" s="3">
        <v>45216</v>
      </c>
      <c r="E1107" s="7">
        <v>114</v>
      </c>
      <c r="F1107" s="2" t="s">
        <v>14</v>
      </c>
      <c r="G1107" s="1">
        <v>13</v>
      </c>
      <c r="H1107" s="6">
        <f t="shared" si="83"/>
        <v>101</v>
      </c>
      <c r="I1107" s="1">
        <f>+COUNTIF(F$3:$F1107,F1107)</f>
        <v>22</v>
      </c>
      <c r="K1107" s="132" t="str">
        <f t="shared" si="87"/>
        <v>평일</v>
      </c>
    </row>
    <row r="1108" spans="1:11" ht="21.75" customHeight="1" x14ac:dyDescent="0.25">
      <c r="A1108" s="2">
        <f t="shared" si="84"/>
        <v>2023</v>
      </c>
      <c r="B1108" s="2">
        <f t="shared" si="85"/>
        <v>10</v>
      </c>
      <c r="C1108" s="2" t="str">
        <f t="shared" si="86"/>
        <v>수</v>
      </c>
      <c r="D1108" s="3">
        <v>45217</v>
      </c>
      <c r="E1108" s="7">
        <v>129</v>
      </c>
      <c r="F1108" s="2" t="s">
        <v>14</v>
      </c>
      <c r="G1108" s="1">
        <v>8</v>
      </c>
      <c r="H1108" s="6">
        <f t="shared" si="83"/>
        <v>121</v>
      </c>
      <c r="I1108" s="1">
        <f>+COUNTIF(F$3:$F1108,F1108)</f>
        <v>23</v>
      </c>
      <c r="K1108" s="132" t="str">
        <f t="shared" si="87"/>
        <v>평일</v>
      </c>
    </row>
    <row r="1109" spans="1:11" ht="21.75" customHeight="1" x14ac:dyDescent="0.25">
      <c r="A1109" s="2">
        <f t="shared" si="84"/>
        <v>2023</v>
      </c>
      <c r="B1109" s="2">
        <f t="shared" si="85"/>
        <v>10</v>
      </c>
      <c r="C1109" s="2" t="str">
        <f t="shared" si="86"/>
        <v>목</v>
      </c>
      <c r="D1109" s="3">
        <v>45218</v>
      </c>
      <c r="E1109" s="7">
        <v>159</v>
      </c>
      <c r="F1109" s="2" t="s">
        <v>14</v>
      </c>
      <c r="G1109" s="1">
        <v>46</v>
      </c>
      <c r="H1109" s="6">
        <f t="shared" si="83"/>
        <v>113</v>
      </c>
      <c r="I1109" s="1">
        <f>+COUNTIF(F$3:$F1109,F1109)</f>
        <v>24</v>
      </c>
      <c r="K1109" s="132" t="str">
        <f t="shared" si="87"/>
        <v>평일</v>
      </c>
    </row>
    <row r="1110" spans="1:11" ht="21.75" customHeight="1" x14ac:dyDescent="0.25">
      <c r="A1110" s="2">
        <f t="shared" si="84"/>
        <v>2023</v>
      </c>
      <c r="B1110" s="2">
        <f t="shared" si="85"/>
        <v>10</v>
      </c>
      <c r="C1110" s="2" t="str">
        <f t="shared" si="86"/>
        <v>금</v>
      </c>
      <c r="D1110" s="3">
        <v>45219</v>
      </c>
      <c r="E1110" s="7">
        <v>203</v>
      </c>
      <c r="F1110" s="2" t="s">
        <v>14</v>
      </c>
      <c r="G1110" s="1">
        <v>17</v>
      </c>
      <c r="H1110" s="6">
        <f t="shared" si="83"/>
        <v>186</v>
      </c>
      <c r="I1110" s="1">
        <f>+COUNTIF(F$3:$F1110,F1110)</f>
        <v>25</v>
      </c>
      <c r="K1110" s="132" t="str">
        <f t="shared" si="87"/>
        <v>평일</v>
      </c>
    </row>
    <row r="1111" spans="1:11" ht="21.75" customHeight="1" x14ac:dyDescent="0.25">
      <c r="A1111" s="2">
        <f t="shared" si="84"/>
        <v>2023</v>
      </c>
      <c r="B1111" s="2">
        <f t="shared" si="85"/>
        <v>10</v>
      </c>
      <c r="C1111" s="2" t="str">
        <f t="shared" si="86"/>
        <v>토</v>
      </c>
      <c r="D1111" s="3">
        <v>45220</v>
      </c>
      <c r="E1111" s="7">
        <v>525</v>
      </c>
      <c r="F1111" s="2" t="s">
        <v>14</v>
      </c>
      <c r="G1111" s="1">
        <v>61</v>
      </c>
      <c r="H1111" s="6">
        <f t="shared" si="83"/>
        <v>464</v>
      </c>
      <c r="I1111" s="1">
        <f>+COUNTIF(F$3:$F1111,F1111)</f>
        <v>26</v>
      </c>
      <c r="K1111" s="132" t="str">
        <f t="shared" si="87"/>
        <v>주말</v>
      </c>
    </row>
    <row r="1112" spans="1:11" ht="21.75" customHeight="1" x14ac:dyDescent="0.25">
      <c r="A1112" s="2">
        <f t="shared" si="84"/>
        <v>2023</v>
      </c>
      <c r="B1112" s="2">
        <f t="shared" si="85"/>
        <v>10</v>
      </c>
      <c r="C1112" s="2" t="str">
        <f t="shared" si="86"/>
        <v>일</v>
      </c>
      <c r="D1112" s="3">
        <v>45221</v>
      </c>
      <c r="E1112" s="7">
        <v>353</v>
      </c>
      <c r="F1112" s="2" t="s">
        <v>14</v>
      </c>
      <c r="G1112" s="1">
        <v>49</v>
      </c>
      <c r="H1112" s="6">
        <f t="shared" si="83"/>
        <v>304</v>
      </c>
      <c r="I1112" s="1">
        <f>+COUNTIF(F$3:$F1112,F1112)</f>
        <v>27</v>
      </c>
      <c r="K1112" s="132" t="str">
        <f t="shared" si="87"/>
        <v>주말</v>
      </c>
    </row>
    <row r="1113" spans="1:11" ht="21.75" customHeight="1" x14ac:dyDescent="0.25">
      <c r="A1113" s="2">
        <f t="shared" si="84"/>
        <v>2023</v>
      </c>
      <c r="B1113" s="2">
        <f t="shared" si="85"/>
        <v>10</v>
      </c>
      <c r="C1113" s="2" t="str">
        <f t="shared" si="86"/>
        <v>월</v>
      </c>
      <c r="D1113" s="3">
        <v>45222</v>
      </c>
      <c r="E1113" s="7">
        <v>163</v>
      </c>
      <c r="F1113" s="2" t="s">
        <v>14</v>
      </c>
      <c r="G1113" s="1">
        <v>14</v>
      </c>
      <c r="H1113" s="6">
        <f t="shared" si="83"/>
        <v>149</v>
      </c>
      <c r="I1113" s="1">
        <f>+COUNTIF(F$3:$F1113,F1113)</f>
        <v>28</v>
      </c>
      <c r="K1113" s="132" t="str">
        <f t="shared" si="87"/>
        <v>평일</v>
      </c>
    </row>
    <row r="1114" spans="1:11" ht="21.75" customHeight="1" x14ac:dyDescent="0.25">
      <c r="A1114" s="2">
        <f t="shared" si="84"/>
        <v>2023</v>
      </c>
      <c r="B1114" s="2">
        <f t="shared" si="85"/>
        <v>10</v>
      </c>
      <c r="C1114" s="2" t="str">
        <f t="shared" si="86"/>
        <v>화</v>
      </c>
      <c r="D1114" s="3">
        <v>45223</v>
      </c>
      <c r="E1114" s="7">
        <v>105</v>
      </c>
      <c r="F1114" s="2" t="s">
        <v>14</v>
      </c>
      <c r="G1114" s="1">
        <v>23</v>
      </c>
      <c r="H1114" s="6">
        <f t="shared" si="83"/>
        <v>82</v>
      </c>
      <c r="I1114" s="1">
        <f>+COUNTIF(F$3:$F1114,F1114)</f>
        <v>29</v>
      </c>
      <c r="K1114" s="132" t="str">
        <f t="shared" si="87"/>
        <v>평일</v>
      </c>
    </row>
    <row r="1115" spans="1:11" ht="21.75" customHeight="1" x14ac:dyDescent="0.25">
      <c r="A1115" s="2">
        <f t="shared" si="84"/>
        <v>2023</v>
      </c>
      <c r="B1115" s="2">
        <f t="shared" si="85"/>
        <v>10</v>
      </c>
      <c r="C1115" s="2" t="str">
        <f t="shared" si="86"/>
        <v>수</v>
      </c>
      <c r="D1115" s="3">
        <v>45224</v>
      </c>
      <c r="E1115" s="7">
        <v>130</v>
      </c>
      <c r="F1115" s="2" t="s">
        <v>14</v>
      </c>
      <c r="G1115" s="1">
        <v>19</v>
      </c>
      <c r="H1115" s="6">
        <f t="shared" si="83"/>
        <v>111</v>
      </c>
      <c r="I1115" s="1">
        <f>+COUNTIF(F$3:$F1115,F1115)</f>
        <v>30</v>
      </c>
      <c r="K1115" s="132" t="str">
        <f t="shared" si="87"/>
        <v>평일</v>
      </c>
    </row>
    <row r="1116" spans="1:11" ht="21.75" customHeight="1" x14ac:dyDescent="0.25">
      <c r="A1116" s="2">
        <f t="shared" si="84"/>
        <v>2023</v>
      </c>
      <c r="B1116" s="2">
        <f t="shared" si="85"/>
        <v>10</v>
      </c>
      <c r="C1116" s="2" t="str">
        <f t="shared" si="86"/>
        <v>목</v>
      </c>
      <c r="D1116" s="3">
        <v>45225</v>
      </c>
      <c r="E1116" s="7">
        <v>120</v>
      </c>
      <c r="F1116" s="2" t="s">
        <v>14</v>
      </c>
      <c r="G1116" s="1">
        <v>13</v>
      </c>
      <c r="H1116" s="6">
        <f t="shared" si="83"/>
        <v>107</v>
      </c>
      <c r="I1116" s="1">
        <f>+COUNTIF(F$3:$F1116,F1116)</f>
        <v>31</v>
      </c>
      <c r="K1116" s="132" t="str">
        <f t="shared" si="87"/>
        <v>평일</v>
      </c>
    </row>
    <row r="1117" spans="1:11" ht="21.75" customHeight="1" x14ac:dyDescent="0.25">
      <c r="A1117" s="2">
        <f t="shared" si="84"/>
        <v>2023</v>
      </c>
      <c r="B1117" s="2">
        <f t="shared" si="85"/>
        <v>10</v>
      </c>
      <c r="C1117" s="2" t="str">
        <f t="shared" si="86"/>
        <v>금</v>
      </c>
      <c r="D1117" s="3">
        <v>45226</v>
      </c>
      <c r="E1117" s="7">
        <v>177</v>
      </c>
      <c r="F1117" s="2" t="s">
        <v>14</v>
      </c>
      <c r="G1117" s="1">
        <v>28</v>
      </c>
      <c r="H1117" s="6">
        <f t="shared" si="83"/>
        <v>149</v>
      </c>
      <c r="I1117" s="1">
        <f>+COUNTIF(F$3:$F1117,F1117)</f>
        <v>32</v>
      </c>
      <c r="K1117" s="132" t="str">
        <f t="shared" si="87"/>
        <v>평일</v>
      </c>
    </row>
    <row r="1118" spans="1:11" ht="21.75" customHeight="1" x14ac:dyDescent="0.25">
      <c r="A1118" s="2">
        <f t="shared" si="84"/>
        <v>2023</v>
      </c>
      <c r="B1118" s="2">
        <f t="shared" si="85"/>
        <v>10</v>
      </c>
      <c r="C1118" s="2" t="str">
        <f t="shared" si="86"/>
        <v>토</v>
      </c>
      <c r="D1118" s="3">
        <v>45227</v>
      </c>
      <c r="E1118" s="7">
        <v>326</v>
      </c>
      <c r="F1118" s="2" t="s">
        <v>14</v>
      </c>
      <c r="G1118" s="1">
        <v>61</v>
      </c>
      <c r="H1118" s="6">
        <f t="shared" si="83"/>
        <v>265</v>
      </c>
      <c r="I1118" s="1">
        <f>+COUNTIF(F$3:$F1118,F1118)</f>
        <v>33</v>
      </c>
      <c r="K1118" s="132" t="str">
        <f t="shared" si="87"/>
        <v>주말</v>
      </c>
    </row>
    <row r="1119" spans="1:11" ht="21.75" customHeight="1" x14ac:dyDescent="0.25">
      <c r="A1119" s="2">
        <f t="shared" si="84"/>
        <v>2023</v>
      </c>
      <c r="B1119" s="2">
        <f t="shared" si="85"/>
        <v>10</v>
      </c>
      <c r="C1119" s="2" t="str">
        <f t="shared" si="86"/>
        <v>일</v>
      </c>
      <c r="D1119" s="3">
        <v>45228</v>
      </c>
      <c r="E1119" s="7">
        <v>320</v>
      </c>
      <c r="F1119" s="2" t="s">
        <v>14</v>
      </c>
      <c r="G1119" s="1">
        <v>53</v>
      </c>
      <c r="H1119" s="6">
        <f t="shared" si="83"/>
        <v>267</v>
      </c>
      <c r="I1119" s="1">
        <f>+COUNTIF(F$3:$F1119,F1119)</f>
        <v>34</v>
      </c>
      <c r="K1119" s="132" t="str">
        <f t="shared" si="87"/>
        <v>주말</v>
      </c>
    </row>
    <row r="1120" spans="1:11" ht="21.75" customHeight="1" x14ac:dyDescent="0.25">
      <c r="A1120" s="2">
        <f t="shared" si="84"/>
        <v>2023</v>
      </c>
      <c r="B1120" s="2">
        <f t="shared" si="85"/>
        <v>10</v>
      </c>
      <c r="C1120" s="2" t="str">
        <f t="shared" si="86"/>
        <v>월</v>
      </c>
      <c r="D1120" s="3">
        <v>45229</v>
      </c>
      <c r="E1120" s="7">
        <v>94</v>
      </c>
      <c r="F1120" s="2" t="s">
        <v>14</v>
      </c>
      <c r="G1120" s="1">
        <v>13</v>
      </c>
      <c r="H1120" s="6">
        <f t="shared" si="83"/>
        <v>81</v>
      </c>
      <c r="I1120" s="1">
        <f>+COUNTIF(F$3:$F1120,F1120)</f>
        <v>35</v>
      </c>
      <c r="K1120" s="132" t="str">
        <f t="shared" si="87"/>
        <v>평일</v>
      </c>
    </row>
    <row r="1121" spans="1:11" ht="21.75" customHeight="1" x14ac:dyDescent="0.25">
      <c r="A1121" s="2">
        <f t="shared" si="84"/>
        <v>2023</v>
      </c>
      <c r="B1121" s="2">
        <f t="shared" si="85"/>
        <v>10</v>
      </c>
      <c r="C1121" s="2" t="str">
        <f t="shared" si="86"/>
        <v>화</v>
      </c>
      <c r="D1121" s="3">
        <v>45230</v>
      </c>
      <c r="E1121" s="7">
        <v>122</v>
      </c>
      <c r="F1121" s="2" t="s">
        <v>14</v>
      </c>
      <c r="G1121" s="1">
        <v>33</v>
      </c>
      <c r="H1121" s="6">
        <f t="shared" si="83"/>
        <v>89</v>
      </c>
      <c r="I1121" s="1">
        <f>+COUNTIF(F$3:$F1121,F1121)</f>
        <v>36</v>
      </c>
      <c r="K1121" s="132" t="str">
        <f t="shared" si="87"/>
        <v>평일</v>
      </c>
    </row>
    <row r="1122" spans="1:11" ht="21.75" customHeight="1" x14ac:dyDescent="0.25">
      <c r="A1122" s="2">
        <f t="shared" si="84"/>
        <v>2023</v>
      </c>
      <c r="B1122" s="2">
        <f t="shared" si="85"/>
        <v>11</v>
      </c>
      <c r="C1122" s="2" t="str">
        <f t="shared" si="86"/>
        <v>수</v>
      </c>
      <c r="D1122" s="3">
        <v>45231</v>
      </c>
      <c r="E1122" s="7">
        <v>127</v>
      </c>
      <c r="F1122" s="2" t="s">
        <v>14</v>
      </c>
      <c r="G1122" s="1">
        <v>25</v>
      </c>
      <c r="H1122" s="6">
        <f t="shared" si="83"/>
        <v>102</v>
      </c>
      <c r="I1122" s="1">
        <f>+COUNTIF(F$3:$F1122,F1122)</f>
        <v>37</v>
      </c>
      <c r="K1122" s="132" t="str">
        <f t="shared" si="87"/>
        <v>평일</v>
      </c>
    </row>
    <row r="1123" spans="1:11" ht="21.75" customHeight="1" x14ac:dyDescent="0.25">
      <c r="A1123" s="2">
        <f t="shared" si="84"/>
        <v>2023</v>
      </c>
      <c r="B1123" s="2">
        <f t="shared" si="85"/>
        <v>11</v>
      </c>
      <c r="C1123" s="2" t="str">
        <f t="shared" si="86"/>
        <v>목</v>
      </c>
      <c r="D1123" s="3">
        <v>45232</v>
      </c>
      <c r="E1123" s="7">
        <v>95</v>
      </c>
      <c r="F1123" s="2" t="s">
        <v>14</v>
      </c>
      <c r="G1123" s="1">
        <v>16</v>
      </c>
      <c r="H1123" s="6">
        <f t="shared" si="83"/>
        <v>79</v>
      </c>
      <c r="I1123" s="1">
        <f>+COUNTIF(F$3:$F1123,F1123)</f>
        <v>38</v>
      </c>
      <c r="K1123" s="132" t="str">
        <f t="shared" si="87"/>
        <v>평일</v>
      </c>
    </row>
    <row r="1124" spans="1:11" ht="21.75" customHeight="1" x14ac:dyDescent="0.25">
      <c r="A1124" s="2">
        <f t="shared" si="84"/>
        <v>2023</v>
      </c>
      <c r="B1124" s="2">
        <f t="shared" si="85"/>
        <v>11</v>
      </c>
      <c r="C1124" s="2" t="str">
        <f t="shared" si="86"/>
        <v>금</v>
      </c>
      <c r="D1124" s="3">
        <v>45233</v>
      </c>
      <c r="E1124" s="7">
        <v>151</v>
      </c>
      <c r="F1124" s="2" t="s">
        <v>14</v>
      </c>
      <c r="G1124" s="1">
        <v>15</v>
      </c>
      <c r="H1124" s="6">
        <f t="shared" si="83"/>
        <v>136</v>
      </c>
      <c r="I1124" s="1">
        <f>+COUNTIF(F$3:$F1124,F1124)</f>
        <v>39</v>
      </c>
      <c r="K1124" s="132" t="str">
        <f t="shared" si="87"/>
        <v>평일</v>
      </c>
    </row>
    <row r="1125" spans="1:11" ht="21.75" customHeight="1" x14ac:dyDescent="0.25">
      <c r="A1125" s="2">
        <f t="shared" si="84"/>
        <v>2023</v>
      </c>
      <c r="B1125" s="2">
        <f t="shared" si="85"/>
        <v>11</v>
      </c>
      <c r="C1125" s="2" t="str">
        <f t="shared" si="86"/>
        <v>토</v>
      </c>
      <c r="D1125" s="3">
        <v>45234</v>
      </c>
      <c r="E1125" s="7">
        <v>487</v>
      </c>
      <c r="F1125" s="2" t="s">
        <v>14</v>
      </c>
      <c r="G1125" s="1">
        <v>66</v>
      </c>
      <c r="H1125" s="6">
        <f t="shared" si="83"/>
        <v>421</v>
      </c>
      <c r="I1125" s="1">
        <f>+COUNTIF(F$3:$F1125,F1125)</f>
        <v>40</v>
      </c>
      <c r="K1125" s="132" t="str">
        <f t="shared" si="87"/>
        <v>주말</v>
      </c>
    </row>
    <row r="1126" spans="1:11" ht="21.75" customHeight="1" x14ac:dyDescent="0.25">
      <c r="A1126" s="2">
        <f t="shared" si="84"/>
        <v>2023</v>
      </c>
      <c r="B1126" s="2">
        <f t="shared" si="85"/>
        <v>11</v>
      </c>
      <c r="C1126" s="2" t="str">
        <f t="shared" si="86"/>
        <v>일</v>
      </c>
      <c r="D1126" s="3">
        <v>45235</v>
      </c>
      <c r="E1126" s="7">
        <v>427</v>
      </c>
      <c r="F1126" s="2" t="s">
        <v>14</v>
      </c>
      <c r="G1126" s="1">
        <v>61</v>
      </c>
      <c r="H1126" s="6">
        <f t="shared" si="83"/>
        <v>366</v>
      </c>
      <c r="I1126" s="1">
        <f>+COUNTIF(F$3:$F1126,F1126)</f>
        <v>41</v>
      </c>
      <c r="K1126" s="132" t="str">
        <f t="shared" si="87"/>
        <v>주말</v>
      </c>
    </row>
    <row r="1127" spans="1:11" ht="21.75" customHeight="1" x14ac:dyDescent="0.25">
      <c r="A1127" s="2">
        <f t="shared" si="84"/>
        <v>2023</v>
      </c>
      <c r="B1127" s="2">
        <f t="shared" si="85"/>
        <v>11</v>
      </c>
      <c r="C1127" s="2" t="str">
        <f t="shared" si="86"/>
        <v>월</v>
      </c>
      <c r="D1127" s="3">
        <v>45236</v>
      </c>
      <c r="E1127" s="7">
        <v>0</v>
      </c>
      <c r="F1127" s="2" t="s">
        <v>14</v>
      </c>
      <c r="G1127" s="1">
        <v>0</v>
      </c>
      <c r="H1127" s="6">
        <f t="shared" si="83"/>
        <v>0</v>
      </c>
      <c r="I1127" s="1">
        <f>+COUNTIF(F$3:$F1127,F1127)</f>
        <v>42</v>
      </c>
      <c r="K1127" s="132" t="str">
        <f t="shared" si="87"/>
        <v>평일</v>
      </c>
    </row>
    <row r="1128" spans="1:11" ht="21.75" customHeight="1" x14ac:dyDescent="0.25">
      <c r="A1128" s="2">
        <f t="shared" si="84"/>
        <v>2023</v>
      </c>
      <c r="B1128" s="2">
        <f t="shared" si="85"/>
        <v>11</v>
      </c>
      <c r="C1128" s="2" t="str">
        <f t="shared" si="86"/>
        <v>화</v>
      </c>
      <c r="D1128" s="3">
        <v>45237</v>
      </c>
      <c r="E1128" s="7">
        <v>135</v>
      </c>
      <c r="F1128" s="2" t="s">
        <v>14</v>
      </c>
      <c r="G1128" s="1">
        <v>14</v>
      </c>
      <c r="H1128" s="6">
        <f t="shared" si="83"/>
        <v>121</v>
      </c>
      <c r="I1128" s="1">
        <f>+COUNTIF(F$3:$F1128,F1128)</f>
        <v>43</v>
      </c>
      <c r="K1128" s="132" t="str">
        <f t="shared" si="87"/>
        <v>평일</v>
      </c>
    </row>
    <row r="1129" spans="1:11" ht="21.75" customHeight="1" x14ac:dyDescent="0.25">
      <c r="A1129" s="2">
        <f t="shared" si="84"/>
        <v>2023</v>
      </c>
      <c r="B1129" s="2">
        <f t="shared" si="85"/>
        <v>11</v>
      </c>
      <c r="C1129" s="2" t="str">
        <f t="shared" si="86"/>
        <v>수</v>
      </c>
      <c r="D1129" s="3">
        <v>45238</v>
      </c>
      <c r="E1129" s="7">
        <v>161</v>
      </c>
      <c r="F1129" s="2" t="s">
        <v>14</v>
      </c>
      <c r="G1129" s="1">
        <v>19</v>
      </c>
      <c r="H1129" s="6">
        <f t="shared" si="83"/>
        <v>142</v>
      </c>
      <c r="I1129" s="1">
        <f>+COUNTIF(F$3:$F1129,F1129)</f>
        <v>44</v>
      </c>
      <c r="K1129" s="132" t="str">
        <f t="shared" si="87"/>
        <v>평일</v>
      </c>
    </row>
    <row r="1130" spans="1:11" ht="21.75" customHeight="1" x14ac:dyDescent="0.25">
      <c r="A1130" s="2">
        <f t="shared" si="84"/>
        <v>2023</v>
      </c>
      <c r="B1130" s="2">
        <f t="shared" si="85"/>
        <v>11</v>
      </c>
      <c r="C1130" s="2" t="str">
        <f t="shared" si="86"/>
        <v>목</v>
      </c>
      <c r="D1130" s="3">
        <v>45239</v>
      </c>
      <c r="E1130" s="7">
        <v>126</v>
      </c>
      <c r="F1130" s="2" t="s">
        <v>14</v>
      </c>
      <c r="G1130" s="1">
        <v>10</v>
      </c>
      <c r="H1130" s="6">
        <f t="shared" si="83"/>
        <v>116</v>
      </c>
      <c r="I1130" s="1">
        <f>+COUNTIF(F$3:$F1130,F1130)</f>
        <v>45</v>
      </c>
      <c r="K1130" s="132" t="str">
        <f t="shared" si="87"/>
        <v>평일</v>
      </c>
    </row>
    <row r="1131" spans="1:11" ht="21.75" customHeight="1" x14ac:dyDescent="0.25">
      <c r="A1131" s="2">
        <f t="shared" si="84"/>
        <v>2023</v>
      </c>
      <c r="B1131" s="2">
        <f t="shared" si="85"/>
        <v>11</v>
      </c>
      <c r="C1131" s="2" t="str">
        <f t="shared" si="86"/>
        <v>금</v>
      </c>
      <c r="D1131" s="3">
        <v>45240</v>
      </c>
      <c r="E1131" s="7">
        <v>153</v>
      </c>
      <c r="F1131" s="2" t="s">
        <v>14</v>
      </c>
      <c r="G1131" s="1">
        <v>24</v>
      </c>
      <c r="H1131" s="6">
        <f t="shared" si="83"/>
        <v>129</v>
      </c>
      <c r="I1131" s="1">
        <f>+COUNTIF(F$3:$F1131,F1131)</f>
        <v>46</v>
      </c>
      <c r="K1131" s="132" t="str">
        <f t="shared" si="87"/>
        <v>평일</v>
      </c>
    </row>
    <row r="1132" spans="1:11" ht="21.75" customHeight="1" x14ac:dyDescent="0.25">
      <c r="A1132" s="2">
        <f t="shared" si="84"/>
        <v>2023</v>
      </c>
      <c r="B1132" s="2">
        <f t="shared" si="85"/>
        <v>11</v>
      </c>
      <c r="C1132" s="2" t="str">
        <f t="shared" si="86"/>
        <v>토</v>
      </c>
      <c r="D1132" s="3">
        <v>45241</v>
      </c>
      <c r="E1132" s="7">
        <v>521</v>
      </c>
      <c r="F1132" s="2" t="s">
        <v>14</v>
      </c>
      <c r="G1132" s="1">
        <v>88</v>
      </c>
      <c r="H1132" s="6">
        <f t="shared" si="83"/>
        <v>433</v>
      </c>
      <c r="I1132" s="1">
        <f>+COUNTIF(F$3:$F1132,F1132)</f>
        <v>47</v>
      </c>
      <c r="K1132" s="132" t="str">
        <f t="shared" si="87"/>
        <v>주말</v>
      </c>
    </row>
    <row r="1133" spans="1:11" ht="21.75" customHeight="1" x14ac:dyDescent="0.25">
      <c r="A1133" s="2">
        <f t="shared" si="84"/>
        <v>2023</v>
      </c>
      <c r="B1133" s="2">
        <f t="shared" si="85"/>
        <v>11</v>
      </c>
      <c r="C1133" s="2" t="str">
        <f t="shared" si="86"/>
        <v>일</v>
      </c>
      <c r="D1133" s="3">
        <v>45242</v>
      </c>
      <c r="E1133" s="7">
        <v>523</v>
      </c>
      <c r="F1133" s="2" t="s">
        <v>14</v>
      </c>
      <c r="G1133" s="1">
        <v>89</v>
      </c>
      <c r="H1133" s="6">
        <f t="shared" si="83"/>
        <v>434</v>
      </c>
      <c r="I1133" s="1">
        <f>+COUNTIF(F$3:$F1133,F1133)</f>
        <v>48</v>
      </c>
      <c r="K1133" s="132" t="str">
        <f t="shared" si="87"/>
        <v>주말</v>
      </c>
    </row>
    <row r="1134" spans="1:11" ht="21.75" customHeight="1" x14ac:dyDescent="0.25">
      <c r="A1134" s="2">
        <f t="shared" si="84"/>
        <v>2023</v>
      </c>
      <c r="B1134" s="2">
        <f t="shared" si="85"/>
        <v>11</v>
      </c>
      <c r="C1134" s="2" t="str">
        <f t="shared" si="86"/>
        <v>월</v>
      </c>
      <c r="D1134" s="3">
        <v>45243</v>
      </c>
      <c r="E1134" s="7">
        <v>157</v>
      </c>
      <c r="F1134" s="2" t="s">
        <v>14</v>
      </c>
      <c r="G1134" s="1">
        <v>19</v>
      </c>
      <c r="H1134" s="6">
        <f t="shared" si="83"/>
        <v>138</v>
      </c>
      <c r="I1134" s="1">
        <f>+COUNTIF(F$3:$F1134,F1134)</f>
        <v>49</v>
      </c>
      <c r="K1134" s="132" t="str">
        <f t="shared" si="87"/>
        <v>평일</v>
      </c>
    </row>
    <row r="1135" spans="1:11" ht="21.75" customHeight="1" x14ac:dyDescent="0.25">
      <c r="A1135" s="2">
        <f t="shared" si="84"/>
        <v>2023</v>
      </c>
      <c r="B1135" s="2">
        <f t="shared" si="85"/>
        <v>11</v>
      </c>
      <c r="C1135" s="2" t="str">
        <f t="shared" si="86"/>
        <v>화</v>
      </c>
      <c r="D1135" s="3">
        <v>45244</v>
      </c>
      <c r="E1135" s="7">
        <v>102</v>
      </c>
      <c r="F1135" s="2" t="s">
        <v>14</v>
      </c>
      <c r="G1135" s="1">
        <v>11</v>
      </c>
      <c r="H1135" s="6">
        <f t="shared" si="83"/>
        <v>91</v>
      </c>
      <c r="I1135" s="1">
        <f>+COUNTIF(F$3:$F1135,F1135)</f>
        <v>50</v>
      </c>
      <c r="K1135" s="132" t="str">
        <f t="shared" si="87"/>
        <v>평일</v>
      </c>
    </row>
    <row r="1136" spans="1:11" ht="21.75" customHeight="1" x14ac:dyDescent="0.25">
      <c r="A1136" s="2">
        <f t="shared" si="84"/>
        <v>2023</v>
      </c>
      <c r="B1136" s="2">
        <f t="shared" si="85"/>
        <v>11</v>
      </c>
      <c r="C1136" s="2" t="str">
        <f t="shared" si="86"/>
        <v>수</v>
      </c>
      <c r="D1136" s="3">
        <v>45245</v>
      </c>
      <c r="E1136" s="7">
        <v>143</v>
      </c>
      <c r="F1136" s="2" t="s">
        <v>14</v>
      </c>
      <c r="G1136" s="1">
        <v>8</v>
      </c>
      <c r="H1136" s="6">
        <f t="shared" si="83"/>
        <v>135</v>
      </c>
      <c r="I1136" s="1">
        <f>+COUNTIF(F$3:$F1136,F1136)</f>
        <v>51</v>
      </c>
      <c r="K1136" s="132" t="str">
        <f t="shared" si="87"/>
        <v>평일</v>
      </c>
    </row>
    <row r="1137" spans="1:11" ht="21.75" customHeight="1" x14ac:dyDescent="0.25">
      <c r="A1137" s="2">
        <f t="shared" si="84"/>
        <v>2023</v>
      </c>
      <c r="B1137" s="2">
        <f t="shared" si="85"/>
        <v>11</v>
      </c>
      <c r="C1137" s="2" t="str">
        <f t="shared" si="86"/>
        <v>목</v>
      </c>
      <c r="D1137" s="3">
        <v>45246</v>
      </c>
      <c r="E1137" s="7">
        <v>125</v>
      </c>
      <c r="F1137" s="2" t="s">
        <v>14</v>
      </c>
      <c r="G1137" s="1">
        <v>21</v>
      </c>
      <c r="H1137" s="6">
        <f t="shared" si="83"/>
        <v>104</v>
      </c>
      <c r="I1137" s="1">
        <f>+COUNTIF(F$3:$F1137,F1137)</f>
        <v>52</v>
      </c>
      <c r="K1137" s="132" t="str">
        <f t="shared" si="87"/>
        <v>평일</v>
      </c>
    </row>
    <row r="1138" spans="1:11" ht="21.75" customHeight="1" x14ac:dyDescent="0.25">
      <c r="A1138" s="2">
        <f t="shared" si="84"/>
        <v>2023</v>
      </c>
      <c r="B1138" s="2">
        <f t="shared" si="85"/>
        <v>11</v>
      </c>
      <c r="C1138" s="2" t="str">
        <f t="shared" si="86"/>
        <v>금</v>
      </c>
      <c r="D1138" s="3">
        <v>45247</v>
      </c>
      <c r="E1138" s="7">
        <v>269</v>
      </c>
      <c r="F1138" s="2" t="s">
        <v>14</v>
      </c>
      <c r="G1138" s="1">
        <v>113</v>
      </c>
      <c r="H1138" s="6">
        <f t="shared" si="83"/>
        <v>156</v>
      </c>
      <c r="I1138" s="1">
        <f>+COUNTIF(F$3:$F1138,F1138)</f>
        <v>53</v>
      </c>
      <c r="K1138" s="132" t="str">
        <f t="shared" si="87"/>
        <v>평일</v>
      </c>
    </row>
    <row r="1139" spans="1:11" ht="21.75" customHeight="1" x14ac:dyDescent="0.25">
      <c r="A1139" s="2">
        <f t="shared" si="84"/>
        <v>2023</v>
      </c>
      <c r="B1139" s="2">
        <f t="shared" si="85"/>
        <v>11</v>
      </c>
      <c r="C1139" s="2" t="str">
        <f t="shared" si="86"/>
        <v>토</v>
      </c>
      <c r="D1139" s="3">
        <v>45248</v>
      </c>
      <c r="E1139" s="7">
        <v>502</v>
      </c>
      <c r="F1139" s="2" t="s">
        <v>14</v>
      </c>
      <c r="G1139" s="1">
        <v>90</v>
      </c>
      <c r="H1139" s="6">
        <f t="shared" si="83"/>
        <v>412</v>
      </c>
      <c r="I1139" s="1">
        <f>+COUNTIF(F$3:$F1139,F1139)</f>
        <v>54</v>
      </c>
      <c r="K1139" s="132" t="str">
        <f t="shared" si="87"/>
        <v>주말</v>
      </c>
    </row>
    <row r="1140" spans="1:11" ht="21.75" customHeight="1" x14ac:dyDescent="0.25">
      <c r="A1140" s="2">
        <f t="shared" si="84"/>
        <v>2023</v>
      </c>
      <c r="B1140" s="2">
        <f t="shared" si="85"/>
        <v>11</v>
      </c>
      <c r="C1140" s="2" t="str">
        <f t="shared" si="86"/>
        <v>일</v>
      </c>
      <c r="D1140" s="3">
        <v>45249</v>
      </c>
      <c r="E1140" s="7">
        <v>564</v>
      </c>
      <c r="F1140" s="2" t="s">
        <v>14</v>
      </c>
      <c r="G1140" s="1">
        <v>114</v>
      </c>
      <c r="H1140" s="6">
        <f t="shared" si="83"/>
        <v>450</v>
      </c>
      <c r="I1140" s="1">
        <f>+COUNTIF(F$3:$F1140,F1140)</f>
        <v>55</v>
      </c>
      <c r="K1140" s="132" t="str">
        <f t="shared" si="87"/>
        <v>주말</v>
      </c>
    </row>
    <row r="1141" spans="1:11" ht="21.75" customHeight="1" x14ac:dyDescent="0.25">
      <c r="A1141" s="2">
        <f t="shared" si="84"/>
        <v>2023</v>
      </c>
      <c r="B1141" s="2">
        <f t="shared" si="85"/>
        <v>11</v>
      </c>
      <c r="C1141" s="2" t="str">
        <f t="shared" si="86"/>
        <v>월</v>
      </c>
      <c r="D1141" s="3">
        <v>45250</v>
      </c>
      <c r="E1141" s="7">
        <v>135</v>
      </c>
      <c r="F1141" s="2" t="s">
        <v>14</v>
      </c>
      <c r="G1141" s="1">
        <v>27</v>
      </c>
      <c r="H1141" s="6">
        <f t="shared" si="83"/>
        <v>108</v>
      </c>
      <c r="I1141" s="1">
        <f>+COUNTIF(F$3:$F1141,F1141)</f>
        <v>56</v>
      </c>
      <c r="K1141" s="132" t="str">
        <f t="shared" si="87"/>
        <v>평일</v>
      </c>
    </row>
    <row r="1142" spans="1:11" ht="21.75" customHeight="1" x14ac:dyDescent="0.25">
      <c r="A1142" s="2">
        <f t="shared" si="84"/>
        <v>2023</v>
      </c>
      <c r="B1142" s="2">
        <f t="shared" si="85"/>
        <v>11</v>
      </c>
      <c r="C1142" s="2" t="str">
        <f t="shared" si="86"/>
        <v>화</v>
      </c>
      <c r="D1142" s="3">
        <v>45251</v>
      </c>
      <c r="E1142" s="7">
        <v>117</v>
      </c>
      <c r="F1142" s="2" t="s">
        <v>14</v>
      </c>
      <c r="G1142" s="1">
        <v>36</v>
      </c>
      <c r="H1142" s="6">
        <f t="shared" si="83"/>
        <v>81</v>
      </c>
      <c r="I1142" s="1">
        <f>+COUNTIF(F$3:$F1142,F1142)</f>
        <v>57</v>
      </c>
      <c r="K1142" s="132" t="str">
        <f t="shared" si="87"/>
        <v>평일</v>
      </c>
    </row>
    <row r="1143" spans="1:11" ht="21.75" customHeight="1" x14ac:dyDescent="0.25">
      <c r="A1143" s="2">
        <f t="shared" si="84"/>
        <v>2023</v>
      </c>
      <c r="B1143" s="2">
        <f t="shared" si="85"/>
        <v>11</v>
      </c>
      <c r="C1143" s="2" t="str">
        <f t="shared" si="86"/>
        <v>수</v>
      </c>
      <c r="D1143" s="3">
        <v>45252</v>
      </c>
      <c r="E1143" s="7">
        <v>157</v>
      </c>
      <c r="F1143" s="2" t="s">
        <v>14</v>
      </c>
      <c r="G1143" s="1">
        <v>35</v>
      </c>
      <c r="H1143" s="6">
        <f t="shared" si="83"/>
        <v>122</v>
      </c>
      <c r="I1143" s="1">
        <f>+COUNTIF(F$3:$F1143,F1143)</f>
        <v>58</v>
      </c>
      <c r="K1143" s="132" t="str">
        <f t="shared" si="87"/>
        <v>평일</v>
      </c>
    </row>
    <row r="1144" spans="1:11" ht="21.75" customHeight="1" x14ac:dyDescent="0.25">
      <c r="A1144" s="2">
        <f t="shared" si="84"/>
        <v>2023</v>
      </c>
      <c r="B1144" s="2">
        <f t="shared" si="85"/>
        <v>11</v>
      </c>
      <c r="C1144" s="2" t="str">
        <f t="shared" si="86"/>
        <v>목</v>
      </c>
      <c r="D1144" s="3">
        <v>45253</v>
      </c>
      <c r="E1144" s="7">
        <v>169</v>
      </c>
      <c r="F1144" s="2" t="s">
        <v>14</v>
      </c>
      <c r="G1144" s="1">
        <v>66</v>
      </c>
      <c r="H1144" s="6">
        <f t="shared" si="83"/>
        <v>103</v>
      </c>
      <c r="I1144" s="1">
        <f>+COUNTIF(F$3:$F1144,F1144)</f>
        <v>59</v>
      </c>
      <c r="K1144" s="132" t="str">
        <f t="shared" si="87"/>
        <v>평일</v>
      </c>
    </row>
    <row r="1145" spans="1:11" ht="21.75" customHeight="1" x14ac:dyDescent="0.25">
      <c r="A1145" s="2">
        <f t="shared" si="84"/>
        <v>2023</v>
      </c>
      <c r="B1145" s="2">
        <f t="shared" si="85"/>
        <v>11</v>
      </c>
      <c r="C1145" s="2" t="str">
        <f t="shared" si="86"/>
        <v>금</v>
      </c>
      <c r="D1145" s="3">
        <v>45254</v>
      </c>
      <c r="E1145" s="7">
        <v>263</v>
      </c>
      <c r="F1145" s="2" t="s">
        <v>14</v>
      </c>
      <c r="G1145" s="1">
        <v>53</v>
      </c>
      <c r="H1145" s="6">
        <f t="shared" si="83"/>
        <v>210</v>
      </c>
      <c r="I1145" s="1">
        <f>+COUNTIF(F$3:$F1145,F1145)</f>
        <v>60</v>
      </c>
      <c r="K1145" s="132" t="str">
        <f t="shared" si="87"/>
        <v>평일</v>
      </c>
    </row>
    <row r="1146" spans="1:11" ht="21.75" customHeight="1" x14ac:dyDescent="0.25">
      <c r="A1146" s="2">
        <f t="shared" si="84"/>
        <v>2023</v>
      </c>
      <c r="B1146" s="2">
        <f t="shared" si="85"/>
        <v>11</v>
      </c>
      <c r="C1146" s="2" t="str">
        <f t="shared" si="86"/>
        <v>토</v>
      </c>
      <c r="D1146" s="3">
        <v>45255</v>
      </c>
      <c r="E1146" s="7">
        <v>544</v>
      </c>
      <c r="F1146" s="2" t="s">
        <v>14</v>
      </c>
      <c r="G1146" s="1">
        <v>137</v>
      </c>
      <c r="H1146" s="6">
        <f t="shared" si="83"/>
        <v>407</v>
      </c>
      <c r="I1146" s="1">
        <f>+COUNTIF(F$3:$F1146,F1146)</f>
        <v>61</v>
      </c>
      <c r="K1146" s="132" t="str">
        <f t="shared" si="87"/>
        <v>주말</v>
      </c>
    </row>
    <row r="1147" spans="1:11" ht="21.75" customHeight="1" x14ac:dyDescent="0.25">
      <c r="A1147" s="2">
        <f t="shared" si="84"/>
        <v>2023</v>
      </c>
      <c r="B1147" s="2">
        <f t="shared" si="85"/>
        <v>11</v>
      </c>
      <c r="C1147" s="2" t="str">
        <f t="shared" si="86"/>
        <v>일</v>
      </c>
      <c r="D1147" s="3">
        <v>45256</v>
      </c>
      <c r="E1147" s="7">
        <v>532</v>
      </c>
      <c r="F1147" s="2" t="s">
        <v>14</v>
      </c>
      <c r="G1147" s="1">
        <v>122</v>
      </c>
      <c r="H1147" s="6">
        <f t="shared" si="83"/>
        <v>410</v>
      </c>
      <c r="I1147" s="1">
        <f>+COUNTIF(F$3:$F1147,F1147)</f>
        <v>62</v>
      </c>
      <c r="K1147" s="132" t="str">
        <f t="shared" si="87"/>
        <v>주말</v>
      </c>
    </row>
    <row r="1148" spans="1:11" ht="21.75" customHeight="1" x14ac:dyDescent="0.25">
      <c r="A1148" s="2">
        <f t="shared" si="84"/>
        <v>2023</v>
      </c>
      <c r="B1148" s="2">
        <f t="shared" si="85"/>
        <v>11</v>
      </c>
      <c r="C1148" s="2" t="str">
        <f t="shared" si="86"/>
        <v>월</v>
      </c>
      <c r="D1148" s="3">
        <v>45257</v>
      </c>
      <c r="E1148" s="7">
        <v>136</v>
      </c>
      <c r="F1148" s="2" t="s">
        <v>14</v>
      </c>
      <c r="G1148" s="1">
        <v>43</v>
      </c>
      <c r="H1148" s="6">
        <f t="shared" si="83"/>
        <v>93</v>
      </c>
      <c r="I1148" s="1">
        <f>+COUNTIF(F$3:$F1148,F1148)</f>
        <v>63</v>
      </c>
      <c r="K1148" s="132" t="str">
        <f t="shared" si="87"/>
        <v>평일</v>
      </c>
    </row>
    <row r="1149" spans="1:11" ht="21.75" customHeight="1" x14ac:dyDescent="0.25">
      <c r="A1149" s="2">
        <f t="shared" si="84"/>
        <v>2023</v>
      </c>
      <c r="B1149" s="2">
        <f t="shared" si="85"/>
        <v>11</v>
      </c>
      <c r="C1149" s="2" t="str">
        <f t="shared" si="86"/>
        <v>화</v>
      </c>
      <c r="D1149" s="3">
        <v>45258</v>
      </c>
      <c r="E1149" s="7">
        <v>138</v>
      </c>
      <c r="F1149" s="2" t="s">
        <v>14</v>
      </c>
      <c r="G1149" s="1">
        <v>34</v>
      </c>
      <c r="H1149" s="6">
        <f t="shared" si="83"/>
        <v>104</v>
      </c>
      <c r="I1149" s="1">
        <f>+COUNTIF(F$3:$F1149,F1149)</f>
        <v>64</v>
      </c>
      <c r="K1149" s="132" t="str">
        <f t="shared" si="87"/>
        <v>평일</v>
      </c>
    </row>
    <row r="1150" spans="1:11" ht="21.75" customHeight="1" x14ac:dyDescent="0.25">
      <c r="A1150" s="2">
        <f t="shared" si="84"/>
        <v>2023</v>
      </c>
      <c r="B1150" s="2">
        <f t="shared" si="85"/>
        <v>11</v>
      </c>
      <c r="C1150" s="2" t="str">
        <f t="shared" si="86"/>
        <v>수</v>
      </c>
      <c r="D1150" s="3">
        <v>45259</v>
      </c>
      <c r="E1150" s="7">
        <v>146</v>
      </c>
      <c r="F1150" s="2" t="s">
        <v>14</v>
      </c>
      <c r="G1150" s="1">
        <v>24</v>
      </c>
      <c r="H1150" s="6">
        <f t="shared" si="83"/>
        <v>122</v>
      </c>
      <c r="I1150" s="1">
        <f>+COUNTIF(F$3:$F1150,F1150)</f>
        <v>65</v>
      </c>
      <c r="K1150" s="132" t="str">
        <f t="shared" si="87"/>
        <v>평일</v>
      </c>
    </row>
    <row r="1151" spans="1:11" ht="21.75" customHeight="1" x14ac:dyDescent="0.25">
      <c r="A1151" s="2">
        <f t="shared" si="84"/>
        <v>2023</v>
      </c>
      <c r="B1151" s="2">
        <f t="shared" si="85"/>
        <v>11</v>
      </c>
      <c r="C1151" s="2" t="str">
        <f t="shared" si="86"/>
        <v>목</v>
      </c>
      <c r="D1151" s="3">
        <v>45260</v>
      </c>
      <c r="E1151" s="7">
        <v>118</v>
      </c>
      <c r="F1151" s="2" t="s">
        <v>14</v>
      </c>
      <c r="G1151" s="1">
        <v>33</v>
      </c>
      <c r="H1151" s="6">
        <f t="shared" ref="H1151:H1182" si="88">+E1151-G1151</f>
        <v>85</v>
      </c>
      <c r="I1151" s="1">
        <f>+COUNTIF(F$3:$F1151,F1151)</f>
        <v>66</v>
      </c>
      <c r="K1151" s="132" t="str">
        <f t="shared" si="87"/>
        <v>평일</v>
      </c>
    </row>
    <row r="1152" spans="1:11" ht="21.75" customHeight="1" x14ac:dyDescent="0.25">
      <c r="A1152" s="2">
        <f t="shared" si="84"/>
        <v>2023</v>
      </c>
      <c r="B1152" s="2">
        <f t="shared" si="85"/>
        <v>12</v>
      </c>
      <c r="C1152" s="2" t="str">
        <f t="shared" si="86"/>
        <v>금</v>
      </c>
      <c r="D1152" s="3">
        <v>45261</v>
      </c>
      <c r="E1152" s="7">
        <v>159</v>
      </c>
      <c r="F1152" s="2" t="s">
        <v>14</v>
      </c>
      <c r="G1152" s="1">
        <v>39</v>
      </c>
      <c r="H1152" s="6">
        <f t="shared" si="88"/>
        <v>120</v>
      </c>
      <c r="I1152" s="1">
        <f>+COUNTIF(F$3:$F1152,F1152)</f>
        <v>67</v>
      </c>
      <c r="K1152" s="132" t="str">
        <f t="shared" si="87"/>
        <v>평일</v>
      </c>
    </row>
    <row r="1153" spans="1:11" ht="21.75" customHeight="1" x14ac:dyDescent="0.25">
      <c r="A1153" s="2">
        <f t="shared" si="84"/>
        <v>2023</v>
      </c>
      <c r="B1153" s="2">
        <f t="shared" si="85"/>
        <v>12</v>
      </c>
      <c r="C1153" s="2" t="str">
        <f t="shared" si="86"/>
        <v>토</v>
      </c>
      <c r="D1153" s="3">
        <v>45262</v>
      </c>
      <c r="E1153" s="7">
        <v>502</v>
      </c>
      <c r="F1153" s="2" t="s">
        <v>14</v>
      </c>
      <c r="G1153" s="1">
        <v>118</v>
      </c>
      <c r="H1153" s="6">
        <f t="shared" si="88"/>
        <v>384</v>
      </c>
      <c r="I1153" s="1">
        <f>+COUNTIF(F$3:$F1153,F1153)</f>
        <v>68</v>
      </c>
      <c r="K1153" s="132" t="str">
        <f t="shared" si="87"/>
        <v>주말</v>
      </c>
    </row>
    <row r="1154" spans="1:11" ht="21.75" customHeight="1" x14ac:dyDescent="0.25">
      <c r="A1154" s="2">
        <f t="shared" si="84"/>
        <v>2023</v>
      </c>
      <c r="B1154" s="2">
        <f t="shared" si="85"/>
        <v>12</v>
      </c>
      <c r="C1154" s="2" t="str">
        <f t="shared" si="86"/>
        <v>일</v>
      </c>
      <c r="D1154" s="3">
        <v>45263</v>
      </c>
      <c r="E1154" s="7">
        <v>464</v>
      </c>
      <c r="F1154" s="2" t="s">
        <v>14</v>
      </c>
      <c r="G1154" s="1">
        <v>129</v>
      </c>
      <c r="H1154" s="6">
        <f t="shared" si="88"/>
        <v>335</v>
      </c>
      <c r="I1154" s="1">
        <f>+COUNTIF(F$3:$F1154,F1154)</f>
        <v>69</v>
      </c>
      <c r="K1154" s="132" t="str">
        <f t="shared" si="87"/>
        <v>주말</v>
      </c>
    </row>
    <row r="1155" spans="1:11" ht="21.75" customHeight="1" x14ac:dyDescent="0.25">
      <c r="A1155" s="2">
        <f t="shared" si="84"/>
        <v>2023</v>
      </c>
      <c r="B1155" s="2">
        <f t="shared" si="85"/>
        <v>12</v>
      </c>
      <c r="C1155" s="2" t="str">
        <f t="shared" si="86"/>
        <v>월</v>
      </c>
      <c r="D1155" s="3">
        <v>45264</v>
      </c>
      <c r="E1155" s="7">
        <v>94</v>
      </c>
      <c r="F1155" s="2" t="s">
        <v>14</v>
      </c>
      <c r="G1155" s="1">
        <v>22</v>
      </c>
      <c r="H1155" s="6">
        <f t="shared" si="88"/>
        <v>72</v>
      </c>
      <c r="I1155" s="1">
        <f>+COUNTIF(F$3:$F1155,F1155)</f>
        <v>70</v>
      </c>
      <c r="K1155" s="132" t="str">
        <f t="shared" si="87"/>
        <v>평일</v>
      </c>
    </row>
    <row r="1156" spans="1:11" ht="21.75" customHeight="1" x14ac:dyDescent="0.25">
      <c r="A1156" s="2">
        <f t="shared" ref="A1156:A1219" si="89">+YEAR(D1156)</f>
        <v>2023</v>
      </c>
      <c r="B1156" s="2">
        <f t="shared" ref="B1156:B1219" si="90">+MONTH(D1156)</f>
        <v>12</v>
      </c>
      <c r="C1156" s="2" t="str">
        <f t="shared" ref="C1156:C1219" si="91">+TEXT(D1156,"aaa")</f>
        <v>화</v>
      </c>
      <c r="D1156" s="3">
        <v>45265</v>
      </c>
      <c r="E1156" s="7">
        <v>139</v>
      </c>
      <c r="F1156" s="2" t="s">
        <v>14</v>
      </c>
      <c r="G1156" s="1">
        <v>36</v>
      </c>
      <c r="H1156" s="6">
        <f t="shared" si="88"/>
        <v>103</v>
      </c>
      <c r="I1156" s="1">
        <f>+COUNTIF(F$3:$F1156,F1156)</f>
        <v>71</v>
      </c>
      <c r="K1156" s="132" t="str">
        <f t="shared" ref="K1156:K1219" si="92">+IF(OR(C1156="토",C1156="일"),"주말","평일")</f>
        <v>평일</v>
      </c>
    </row>
    <row r="1157" spans="1:11" ht="21.75" customHeight="1" x14ac:dyDescent="0.25">
      <c r="A1157" s="2">
        <f t="shared" si="89"/>
        <v>2023</v>
      </c>
      <c r="B1157" s="2">
        <f t="shared" si="90"/>
        <v>12</v>
      </c>
      <c r="C1157" s="2" t="str">
        <f t="shared" si="91"/>
        <v>수</v>
      </c>
      <c r="D1157" s="3">
        <v>45266</v>
      </c>
      <c r="E1157" s="7">
        <v>135</v>
      </c>
      <c r="F1157" s="2" t="s">
        <v>14</v>
      </c>
      <c r="G1157" s="1">
        <v>37</v>
      </c>
      <c r="H1157" s="6">
        <f t="shared" si="88"/>
        <v>98</v>
      </c>
      <c r="I1157" s="1">
        <f>+COUNTIF(F$3:$F1157,F1157)</f>
        <v>72</v>
      </c>
      <c r="K1157" s="132" t="str">
        <f t="shared" si="92"/>
        <v>평일</v>
      </c>
    </row>
    <row r="1158" spans="1:11" ht="21.75" customHeight="1" x14ac:dyDescent="0.25">
      <c r="A1158" s="2">
        <f t="shared" si="89"/>
        <v>2023</v>
      </c>
      <c r="B1158" s="2">
        <f t="shared" si="90"/>
        <v>12</v>
      </c>
      <c r="C1158" s="2" t="str">
        <f t="shared" si="91"/>
        <v>목</v>
      </c>
      <c r="D1158" s="3">
        <v>45267</v>
      </c>
      <c r="E1158" s="7">
        <v>250</v>
      </c>
      <c r="F1158" s="2" t="s">
        <v>14</v>
      </c>
      <c r="G1158" s="1">
        <v>36</v>
      </c>
      <c r="H1158" s="6">
        <f t="shared" si="88"/>
        <v>214</v>
      </c>
      <c r="I1158" s="1">
        <f>+COUNTIF(F$3:$F1158,F1158)</f>
        <v>73</v>
      </c>
      <c r="K1158" s="132" t="str">
        <f t="shared" si="92"/>
        <v>평일</v>
      </c>
    </row>
    <row r="1159" spans="1:11" ht="21.75" customHeight="1" x14ac:dyDescent="0.25">
      <c r="A1159" s="2">
        <f t="shared" si="89"/>
        <v>2023</v>
      </c>
      <c r="B1159" s="2">
        <f t="shared" si="90"/>
        <v>12</v>
      </c>
      <c r="C1159" s="2" t="str">
        <f t="shared" si="91"/>
        <v>금</v>
      </c>
      <c r="D1159" s="3">
        <v>45268</v>
      </c>
      <c r="E1159" s="7">
        <v>193</v>
      </c>
      <c r="F1159" s="2" t="s">
        <v>14</v>
      </c>
      <c r="G1159" s="1">
        <v>62</v>
      </c>
      <c r="H1159" s="6">
        <f t="shared" si="88"/>
        <v>131</v>
      </c>
      <c r="I1159" s="1">
        <f>+COUNTIF(F$3:$F1159,F1159)</f>
        <v>74</v>
      </c>
      <c r="K1159" s="132" t="str">
        <f t="shared" si="92"/>
        <v>평일</v>
      </c>
    </row>
    <row r="1160" spans="1:11" ht="21.75" customHeight="1" x14ac:dyDescent="0.25">
      <c r="A1160" s="2">
        <f t="shared" si="89"/>
        <v>2023</v>
      </c>
      <c r="B1160" s="2">
        <f t="shared" si="90"/>
        <v>12</v>
      </c>
      <c r="C1160" s="2" t="str">
        <f t="shared" si="91"/>
        <v>토</v>
      </c>
      <c r="D1160" s="3">
        <v>45269</v>
      </c>
      <c r="E1160" s="7">
        <v>602</v>
      </c>
      <c r="F1160" s="2" t="s">
        <v>14</v>
      </c>
      <c r="G1160" s="1">
        <v>202</v>
      </c>
      <c r="H1160" s="6">
        <f t="shared" si="88"/>
        <v>400</v>
      </c>
      <c r="I1160" s="1">
        <f>+COUNTIF(F$3:$F1160,F1160)</f>
        <v>75</v>
      </c>
      <c r="K1160" s="132" t="str">
        <f t="shared" si="92"/>
        <v>주말</v>
      </c>
    </row>
    <row r="1161" spans="1:11" ht="21.75" customHeight="1" x14ac:dyDescent="0.25">
      <c r="A1161" s="2">
        <f t="shared" si="89"/>
        <v>2023</v>
      </c>
      <c r="B1161" s="2">
        <f t="shared" si="90"/>
        <v>12</v>
      </c>
      <c r="C1161" s="2" t="str">
        <f t="shared" si="91"/>
        <v>일</v>
      </c>
      <c r="D1161" s="3">
        <v>45270</v>
      </c>
      <c r="E1161" s="7">
        <v>482</v>
      </c>
      <c r="F1161" s="2" t="s">
        <v>14</v>
      </c>
      <c r="G1161" s="1">
        <v>184</v>
      </c>
      <c r="H1161" s="6">
        <f t="shared" si="88"/>
        <v>298</v>
      </c>
      <c r="I1161" s="1">
        <f>+COUNTIF(F$3:$F1161,F1161)</f>
        <v>76</v>
      </c>
      <c r="K1161" s="132" t="str">
        <f t="shared" si="92"/>
        <v>주말</v>
      </c>
    </row>
    <row r="1162" spans="1:11" ht="21.75" customHeight="1" x14ac:dyDescent="0.25">
      <c r="A1162" s="2">
        <f t="shared" si="89"/>
        <v>2023</v>
      </c>
      <c r="B1162" s="2">
        <f t="shared" si="90"/>
        <v>12</v>
      </c>
      <c r="C1162" s="2" t="str">
        <f t="shared" si="91"/>
        <v>월</v>
      </c>
      <c r="D1162" s="3">
        <v>45271</v>
      </c>
      <c r="E1162" s="7">
        <v>161</v>
      </c>
      <c r="F1162" s="2" t="s">
        <v>14</v>
      </c>
      <c r="G1162" s="1">
        <v>36</v>
      </c>
      <c r="H1162" s="6">
        <f t="shared" si="88"/>
        <v>125</v>
      </c>
      <c r="I1162" s="1">
        <f>+COUNTIF(F$3:$F1162,F1162)</f>
        <v>77</v>
      </c>
      <c r="K1162" s="132" t="str">
        <f t="shared" si="92"/>
        <v>평일</v>
      </c>
    </row>
    <row r="1163" spans="1:11" ht="21.75" customHeight="1" x14ac:dyDescent="0.25">
      <c r="A1163" s="2">
        <f t="shared" si="89"/>
        <v>2023</v>
      </c>
      <c r="B1163" s="2">
        <f t="shared" si="90"/>
        <v>12</v>
      </c>
      <c r="C1163" s="2" t="str">
        <f t="shared" si="91"/>
        <v>화</v>
      </c>
      <c r="D1163" s="3">
        <v>45272</v>
      </c>
      <c r="E1163" s="7">
        <v>188</v>
      </c>
      <c r="F1163" s="2" t="s">
        <v>14</v>
      </c>
      <c r="G1163" s="1">
        <v>30</v>
      </c>
      <c r="H1163" s="6">
        <f t="shared" si="88"/>
        <v>158</v>
      </c>
      <c r="I1163" s="1">
        <f>+COUNTIF(F$3:$F1163,F1163)</f>
        <v>78</v>
      </c>
      <c r="K1163" s="132" t="str">
        <f t="shared" si="92"/>
        <v>평일</v>
      </c>
    </row>
    <row r="1164" spans="1:11" ht="21.75" customHeight="1" x14ac:dyDescent="0.25">
      <c r="A1164" s="2">
        <f t="shared" si="89"/>
        <v>2023</v>
      </c>
      <c r="B1164" s="2">
        <f t="shared" si="90"/>
        <v>12</v>
      </c>
      <c r="C1164" s="2" t="str">
        <f t="shared" si="91"/>
        <v>수</v>
      </c>
      <c r="D1164" s="3">
        <v>45273</v>
      </c>
      <c r="E1164" s="7">
        <v>236</v>
      </c>
      <c r="F1164" s="2" t="s">
        <v>14</v>
      </c>
      <c r="G1164" s="1">
        <v>58</v>
      </c>
      <c r="H1164" s="6">
        <f t="shared" si="88"/>
        <v>178</v>
      </c>
      <c r="I1164" s="1">
        <f>+COUNTIF(F$3:$F1164,F1164)</f>
        <v>79</v>
      </c>
      <c r="K1164" s="132" t="str">
        <f t="shared" si="92"/>
        <v>평일</v>
      </c>
    </row>
    <row r="1165" spans="1:11" ht="21.75" customHeight="1" x14ac:dyDescent="0.25">
      <c r="A1165" s="2">
        <f t="shared" si="89"/>
        <v>2023</v>
      </c>
      <c r="B1165" s="2">
        <f t="shared" si="90"/>
        <v>12</v>
      </c>
      <c r="C1165" s="2" t="str">
        <f t="shared" si="91"/>
        <v>목</v>
      </c>
      <c r="D1165" s="3">
        <v>45274</v>
      </c>
      <c r="E1165" s="7">
        <v>154</v>
      </c>
      <c r="F1165" s="2" t="s">
        <v>14</v>
      </c>
      <c r="G1165" s="1">
        <v>64</v>
      </c>
      <c r="H1165" s="6">
        <f t="shared" si="88"/>
        <v>90</v>
      </c>
      <c r="I1165" s="1">
        <f>+COUNTIF(F$3:$F1165,F1165)</f>
        <v>80</v>
      </c>
      <c r="K1165" s="132" t="str">
        <f t="shared" si="92"/>
        <v>평일</v>
      </c>
    </row>
    <row r="1166" spans="1:11" ht="21.75" customHeight="1" x14ac:dyDescent="0.25">
      <c r="A1166" s="2">
        <f t="shared" si="89"/>
        <v>2023</v>
      </c>
      <c r="B1166" s="2">
        <f t="shared" si="90"/>
        <v>12</v>
      </c>
      <c r="C1166" s="2" t="str">
        <f t="shared" si="91"/>
        <v>금</v>
      </c>
      <c r="D1166" s="3">
        <v>45275</v>
      </c>
      <c r="E1166" s="7">
        <v>451</v>
      </c>
      <c r="F1166" s="2" t="s">
        <v>14</v>
      </c>
      <c r="G1166" s="1">
        <v>70</v>
      </c>
      <c r="H1166" s="6">
        <f t="shared" si="88"/>
        <v>381</v>
      </c>
      <c r="I1166" s="1">
        <f>+COUNTIF(F$3:$F1166,F1166)</f>
        <v>81</v>
      </c>
      <c r="K1166" s="132" t="str">
        <f t="shared" si="92"/>
        <v>평일</v>
      </c>
    </row>
    <row r="1167" spans="1:11" ht="21.75" customHeight="1" x14ac:dyDescent="0.25">
      <c r="A1167" s="2">
        <f t="shared" si="89"/>
        <v>2023</v>
      </c>
      <c r="B1167" s="2">
        <f t="shared" si="90"/>
        <v>12</v>
      </c>
      <c r="C1167" s="2" t="str">
        <f t="shared" si="91"/>
        <v>토</v>
      </c>
      <c r="D1167" s="3">
        <v>45276</v>
      </c>
      <c r="E1167" s="7">
        <v>619</v>
      </c>
      <c r="F1167" s="2" t="s">
        <v>14</v>
      </c>
      <c r="G1167" s="1">
        <v>236</v>
      </c>
      <c r="H1167" s="6">
        <f t="shared" si="88"/>
        <v>383</v>
      </c>
      <c r="I1167" s="1">
        <f>+COUNTIF(F$3:$F1167,F1167)</f>
        <v>82</v>
      </c>
      <c r="K1167" s="132" t="str">
        <f t="shared" si="92"/>
        <v>주말</v>
      </c>
    </row>
    <row r="1168" spans="1:11" ht="21.75" customHeight="1" x14ac:dyDescent="0.25">
      <c r="A1168" s="2">
        <f t="shared" si="89"/>
        <v>2023</v>
      </c>
      <c r="B1168" s="2">
        <f t="shared" si="90"/>
        <v>12</v>
      </c>
      <c r="C1168" s="2" t="str">
        <f t="shared" si="91"/>
        <v>일</v>
      </c>
      <c r="D1168" s="3">
        <v>45277</v>
      </c>
      <c r="E1168" s="7">
        <v>542</v>
      </c>
      <c r="F1168" s="2" t="s">
        <v>14</v>
      </c>
      <c r="G1168" s="1">
        <v>190</v>
      </c>
      <c r="H1168" s="6">
        <f t="shared" si="88"/>
        <v>352</v>
      </c>
      <c r="I1168" s="1">
        <f>+COUNTIF(F$3:$F1168,F1168)</f>
        <v>83</v>
      </c>
      <c r="K1168" s="132" t="str">
        <f t="shared" si="92"/>
        <v>주말</v>
      </c>
    </row>
    <row r="1169" spans="1:11" ht="21.75" customHeight="1" x14ac:dyDescent="0.25">
      <c r="A1169" s="2">
        <f t="shared" si="89"/>
        <v>2023</v>
      </c>
      <c r="B1169" s="2">
        <f t="shared" si="90"/>
        <v>12</v>
      </c>
      <c r="C1169" s="2" t="str">
        <f t="shared" si="91"/>
        <v>월</v>
      </c>
      <c r="D1169" s="3">
        <v>45278</v>
      </c>
      <c r="E1169" s="7">
        <v>263</v>
      </c>
      <c r="F1169" s="2" t="s">
        <v>14</v>
      </c>
      <c r="G1169" s="1">
        <v>88</v>
      </c>
      <c r="H1169" s="6">
        <f t="shared" si="88"/>
        <v>175</v>
      </c>
      <c r="I1169" s="1">
        <f>+COUNTIF(F$3:$F1169,F1169)</f>
        <v>84</v>
      </c>
      <c r="K1169" s="132" t="str">
        <f t="shared" si="92"/>
        <v>평일</v>
      </c>
    </row>
    <row r="1170" spans="1:11" ht="21.75" customHeight="1" x14ac:dyDescent="0.25">
      <c r="A1170" s="2">
        <f t="shared" si="89"/>
        <v>2023</v>
      </c>
      <c r="B1170" s="2">
        <f t="shared" si="90"/>
        <v>12</v>
      </c>
      <c r="C1170" s="2" t="str">
        <f t="shared" si="91"/>
        <v>화</v>
      </c>
      <c r="D1170" s="3">
        <v>45279</v>
      </c>
      <c r="E1170" s="7">
        <v>234</v>
      </c>
      <c r="F1170" s="2" t="s">
        <v>14</v>
      </c>
      <c r="G1170" s="1">
        <v>73</v>
      </c>
      <c r="H1170" s="6">
        <f t="shared" si="88"/>
        <v>161</v>
      </c>
      <c r="I1170" s="1">
        <f>+COUNTIF(F$3:$F1170,F1170)</f>
        <v>85</v>
      </c>
      <c r="K1170" s="132" t="str">
        <f t="shared" si="92"/>
        <v>평일</v>
      </c>
    </row>
    <row r="1171" spans="1:11" ht="21.75" customHeight="1" x14ac:dyDescent="0.25">
      <c r="A1171" s="2">
        <f t="shared" si="89"/>
        <v>2023</v>
      </c>
      <c r="B1171" s="2">
        <f t="shared" si="90"/>
        <v>12</v>
      </c>
      <c r="C1171" s="2" t="str">
        <f t="shared" si="91"/>
        <v>수</v>
      </c>
      <c r="D1171" s="3">
        <v>45280</v>
      </c>
      <c r="E1171" s="7">
        <v>332</v>
      </c>
      <c r="F1171" s="2" t="s">
        <v>14</v>
      </c>
      <c r="G1171" s="1">
        <v>119</v>
      </c>
      <c r="H1171" s="6">
        <f t="shared" si="88"/>
        <v>213</v>
      </c>
      <c r="I1171" s="1">
        <f>+COUNTIF(F$3:$F1171,F1171)</f>
        <v>86</v>
      </c>
      <c r="K1171" s="132" t="str">
        <f t="shared" si="92"/>
        <v>평일</v>
      </c>
    </row>
    <row r="1172" spans="1:11" ht="21.75" customHeight="1" x14ac:dyDescent="0.25">
      <c r="A1172" s="2">
        <f t="shared" si="89"/>
        <v>2023</v>
      </c>
      <c r="B1172" s="2">
        <f t="shared" si="90"/>
        <v>12</v>
      </c>
      <c r="C1172" s="2" t="str">
        <f t="shared" si="91"/>
        <v>목</v>
      </c>
      <c r="D1172" s="3">
        <v>45281</v>
      </c>
      <c r="E1172" s="7">
        <v>265</v>
      </c>
      <c r="F1172" s="2" t="s">
        <v>14</v>
      </c>
      <c r="G1172" s="1">
        <v>82</v>
      </c>
      <c r="H1172" s="6">
        <f t="shared" si="88"/>
        <v>183</v>
      </c>
      <c r="I1172" s="1">
        <f>+COUNTIF(F$3:$F1172,F1172)</f>
        <v>87</v>
      </c>
      <c r="K1172" s="132" t="str">
        <f t="shared" si="92"/>
        <v>평일</v>
      </c>
    </row>
    <row r="1173" spans="1:11" ht="21.75" customHeight="1" x14ac:dyDescent="0.25">
      <c r="A1173" s="2">
        <f t="shared" si="89"/>
        <v>2023</v>
      </c>
      <c r="B1173" s="2">
        <f t="shared" si="90"/>
        <v>12</v>
      </c>
      <c r="C1173" s="2" t="str">
        <f t="shared" si="91"/>
        <v>금</v>
      </c>
      <c r="D1173" s="3">
        <v>45282</v>
      </c>
      <c r="E1173" s="7">
        <v>370</v>
      </c>
      <c r="F1173" s="2" t="s">
        <v>14</v>
      </c>
      <c r="G1173" s="1">
        <v>108</v>
      </c>
      <c r="H1173" s="6">
        <f t="shared" si="88"/>
        <v>262</v>
      </c>
      <c r="I1173" s="1">
        <f>+COUNTIF(F$3:$F1173,F1173)</f>
        <v>88</v>
      </c>
      <c r="K1173" s="132" t="str">
        <f t="shared" si="92"/>
        <v>평일</v>
      </c>
    </row>
    <row r="1174" spans="1:11" ht="21.75" customHeight="1" x14ac:dyDescent="0.25">
      <c r="A1174" s="2">
        <f t="shared" si="89"/>
        <v>2023</v>
      </c>
      <c r="B1174" s="2">
        <f t="shared" si="90"/>
        <v>12</v>
      </c>
      <c r="C1174" s="2" t="str">
        <f t="shared" si="91"/>
        <v>토</v>
      </c>
      <c r="D1174" s="3">
        <v>45283</v>
      </c>
      <c r="E1174" s="7">
        <v>690</v>
      </c>
      <c r="F1174" s="2" t="s">
        <v>14</v>
      </c>
      <c r="G1174" s="1">
        <v>287</v>
      </c>
      <c r="H1174" s="6">
        <f t="shared" si="88"/>
        <v>403</v>
      </c>
      <c r="I1174" s="1">
        <f>+COUNTIF(F$3:$F1174,F1174)</f>
        <v>89</v>
      </c>
      <c r="K1174" s="132" t="str">
        <f t="shared" si="92"/>
        <v>주말</v>
      </c>
    </row>
    <row r="1175" spans="1:11" ht="21.75" customHeight="1" x14ac:dyDescent="0.25">
      <c r="A1175" s="2">
        <f t="shared" si="89"/>
        <v>2023</v>
      </c>
      <c r="B1175" s="2">
        <f t="shared" si="90"/>
        <v>12</v>
      </c>
      <c r="C1175" s="2" t="str">
        <f t="shared" si="91"/>
        <v>일</v>
      </c>
      <c r="D1175" s="3">
        <v>45284</v>
      </c>
      <c r="E1175" s="7">
        <v>713</v>
      </c>
      <c r="F1175" s="2" t="s">
        <v>14</v>
      </c>
      <c r="G1175" s="1">
        <v>272</v>
      </c>
      <c r="H1175" s="6">
        <f t="shared" si="88"/>
        <v>441</v>
      </c>
      <c r="I1175" s="1">
        <f>+COUNTIF(F$3:$F1175,F1175)</f>
        <v>90</v>
      </c>
      <c r="K1175" s="132" t="str">
        <f t="shared" si="92"/>
        <v>주말</v>
      </c>
    </row>
    <row r="1176" spans="1:11" ht="21.75" customHeight="1" x14ac:dyDescent="0.25">
      <c r="A1176" s="2">
        <f t="shared" si="89"/>
        <v>2023</v>
      </c>
      <c r="B1176" s="2">
        <f t="shared" si="90"/>
        <v>12</v>
      </c>
      <c r="C1176" s="2" t="str">
        <f t="shared" si="91"/>
        <v>월</v>
      </c>
      <c r="D1176" s="3">
        <v>45285</v>
      </c>
      <c r="E1176" s="7">
        <v>799</v>
      </c>
      <c r="F1176" s="2" t="s">
        <v>14</v>
      </c>
      <c r="G1176" s="1">
        <v>254</v>
      </c>
      <c r="H1176" s="6">
        <f t="shared" si="88"/>
        <v>545</v>
      </c>
      <c r="I1176" s="1">
        <f>+COUNTIF(F$3:$F1176,F1176)</f>
        <v>91</v>
      </c>
      <c r="K1176" s="132" t="str">
        <f t="shared" si="92"/>
        <v>평일</v>
      </c>
    </row>
    <row r="1177" spans="1:11" ht="21.75" customHeight="1" x14ac:dyDescent="0.25">
      <c r="A1177" s="2">
        <f t="shared" si="89"/>
        <v>2023</v>
      </c>
      <c r="B1177" s="2">
        <f t="shared" si="90"/>
        <v>12</v>
      </c>
      <c r="C1177" s="2" t="str">
        <f t="shared" si="91"/>
        <v>화</v>
      </c>
      <c r="D1177" s="3">
        <v>45286</v>
      </c>
      <c r="E1177" s="7">
        <v>399</v>
      </c>
      <c r="F1177" s="2" t="s">
        <v>14</v>
      </c>
      <c r="G1177" s="1">
        <v>156</v>
      </c>
      <c r="H1177" s="6">
        <f t="shared" si="88"/>
        <v>243</v>
      </c>
      <c r="I1177" s="1">
        <f>+COUNTIF(F$3:$F1177,F1177)</f>
        <v>92</v>
      </c>
      <c r="K1177" s="132" t="str">
        <f t="shared" si="92"/>
        <v>평일</v>
      </c>
    </row>
    <row r="1178" spans="1:11" ht="21.75" customHeight="1" x14ac:dyDescent="0.25">
      <c r="A1178" s="2">
        <f t="shared" si="89"/>
        <v>2023</v>
      </c>
      <c r="B1178" s="2">
        <f t="shared" si="90"/>
        <v>12</v>
      </c>
      <c r="C1178" s="2" t="str">
        <f t="shared" si="91"/>
        <v>수</v>
      </c>
      <c r="D1178" s="3">
        <v>45287</v>
      </c>
      <c r="E1178" s="7">
        <v>421</v>
      </c>
      <c r="F1178" s="2" t="s">
        <v>14</v>
      </c>
      <c r="G1178" s="1">
        <v>138</v>
      </c>
      <c r="H1178" s="6">
        <f t="shared" si="88"/>
        <v>283</v>
      </c>
      <c r="I1178" s="1">
        <f>+COUNTIF(F$3:$F1178,F1178)</f>
        <v>93</v>
      </c>
      <c r="K1178" s="132" t="str">
        <f t="shared" si="92"/>
        <v>평일</v>
      </c>
    </row>
    <row r="1179" spans="1:11" ht="21.75" customHeight="1" x14ac:dyDescent="0.25">
      <c r="A1179" s="2">
        <f t="shared" si="89"/>
        <v>2023</v>
      </c>
      <c r="B1179" s="2">
        <f t="shared" si="90"/>
        <v>12</v>
      </c>
      <c r="C1179" s="2" t="str">
        <f t="shared" si="91"/>
        <v>목</v>
      </c>
      <c r="D1179" s="3">
        <v>45288</v>
      </c>
      <c r="E1179" s="7">
        <v>564</v>
      </c>
      <c r="F1179" s="2" t="s">
        <v>14</v>
      </c>
      <c r="G1179" s="1">
        <v>207</v>
      </c>
      <c r="H1179" s="6">
        <f t="shared" si="88"/>
        <v>357</v>
      </c>
      <c r="I1179" s="1">
        <f>+COUNTIF(F$3:$F1179,F1179)</f>
        <v>94</v>
      </c>
      <c r="K1179" s="132" t="str">
        <f t="shared" si="92"/>
        <v>평일</v>
      </c>
    </row>
    <row r="1180" spans="1:11" ht="21.75" customHeight="1" x14ac:dyDescent="0.25">
      <c r="A1180" s="2">
        <f t="shared" si="89"/>
        <v>2023</v>
      </c>
      <c r="B1180" s="2">
        <f t="shared" si="90"/>
        <v>12</v>
      </c>
      <c r="C1180" s="2" t="str">
        <f t="shared" si="91"/>
        <v>금</v>
      </c>
      <c r="D1180" s="3">
        <v>45289</v>
      </c>
      <c r="E1180" s="7">
        <v>689</v>
      </c>
      <c r="F1180" s="2" t="s">
        <v>14</v>
      </c>
      <c r="G1180" s="1">
        <v>312</v>
      </c>
      <c r="H1180" s="6">
        <f t="shared" si="88"/>
        <v>377</v>
      </c>
      <c r="I1180" s="1">
        <f>+COUNTIF(F$3:$F1180,F1180)</f>
        <v>95</v>
      </c>
      <c r="K1180" s="132" t="str">
        <f t="shared" si="92"/>
        <v>평일</v>
      </c>
    </row>
    <row r="1181" spans="1:11" ht="21.75" customHeight="1" x14ac:dyDescent="0.25">
      <c r="A1181" s="2">
        <f t="shared" si="89"/>
        <v>2023</v>
      </c>
      <c r="B1181" s="2">
        <f t="shared" si="90"/>
        <v>12</v>
      </c>
      <c r="C1181" s="2" t="str">
        <f t="shared" si="91"/>
        <v>토</v>
      </c>
      <c r="D1181" s="3">
        <v>45290</v>
      </c>
      <c r="E1181" s="7">
        <v>772</v>
      </c>
      <c r="F1181" s="2" t="s">
        <v>14</v>
      </c>
      <c r="G1181" s="1">
        <v>363</v>
      </c>
      <c r="H1181" s="6">
        <f t="shared" si="88"/>
        <v>409</v>
      </c>
      <c r="I1181" s="1">
        <f>+COUNTIF(F$3:$F1181,F1181)</f>
        <v>96</v>
      </c>
      <c r="K1181" s="132" t="str">
        <f t="shared" si="92"/>
        <v>주말</v>
      </c>
    </row>
    <row r="1182" spans="1:11" ht="21.75" customHeight="1" x14ac:dyDescent="0.25">
      <c r="A1182" s="2">
        <f t="shared" si="89"/>
        <v>2023</v>
      </c>
      <c r="B1182" s="2">
        <f t="shared" si="90"/>
        <v>12</v>
      </c>
      <c r="C1182" s="2" t="str">
        <f t="shared" si="91"/>
        <v>일</v>
      </c>
      <c r="D1182" s="3">
        <v>45291</v>
      </c>
      <c r="E1182" s="7">
        <v>1190</v>
      </c>
      <c r="F1182" s="2" t="s">
        <v>14</v>
      </c>
      <c r="G1182" s="1">
        <v>625</v>
      </c>
      <c r="H1182" s="6">
        <f t="shared" si="88"/>
        <v>565</v>
      </c>
      <c r="I1182" s="1">
        <f>+COUNTIF(F$3:$F1182,F1182)</f>
        <v>97</v>
      </c>
      <c r="K1182" s="132" t="str">
        <f t="shared" si="92"/>
        <v>주말</v>
      </c>
    </row>
    <row r="1183" spans="1:11" ht="21.75" customHeight="1" x14ac:dyDescent="0.25">
      <c r="A1183" s="2">
        <f t="shared" si="89"/>
        <v>2024</v>
      </c>
      <c r="B1183" s="2">
        <f t="shared" si="90"/>
        <v>1</v>
      </c>
      <c r="C1183" s="2" t="str">
        <f t="shared" si="91"/>
        <v>월</v>
      </c>
      <c r="D1183" s="3">
        <v>45292</v>
      </c>
      <c r="E1183" s="7">
        <v>0</v>
      </c>
      <c r="F1183" s="2">
        <v>0</v>
      </c>
      <c r="I1183" s="1">
        <f>+COUNTIF(F$3:$F1183,F1183)</f>
        <v>316</v>
      </c>
      <c r="K1183" s="132" t="str">
        <f t="shared" si="92"/>
        <v>평일</v>
      </c>
    </row>
    <row r="1184" spans="1:11" ht="21.75" customHeight="1" x14ac:dyDescent="0.25">
      <c r="A1184" s="2">
        <f t="shared" si="89"/>
        <v>2024</v>
      </c>
      <c r="B1184" s="2">
        <f t="shared" si="90"/>
        <v>1</v>
      </c>
      <c r="C1184" s="2" t="str">
        <f t="shared" si="91"/>
        <v>화</v>
      </c>
      <c r="D1184" s="3">
        <v>45293</v>
      </c>
      <c r="E1184" s="7">
        <v>0</v>
      </c>
      <c r="F1184" s="2">
        <v>0</v>
      </c>
      <c r="I1184" s="1">
        <f>+COUNTIF(F$3:$F1184,F1184)</f>
        <v>317</v>
      </c>
      <c r="K1184" s="132" t="str">
        <f t="shared" si="92"/>
        <v>평일</v>
      </c>
    </row>
    <row r="1185" spans="1:11" ht="21.75" customHeight="1" x14ac:dyDescent="0.25">
      <c r="A1185" s="2">
        <f t="shared" si="89"/>
        <v>2024</v>
      </c>
      <c r="B1185" s="2">
        <f t="shared" si="90"/>
        <v>1</v>
      </c>
      <c r="C1185" s="2" t="str">
        <f t="shared" si="91"/>
        <v>수</v>
      </c>
      <c r="D1185" s="3">
        <v>45294</v>
      </c>
      <c r="E1185" s="7">
        <v>0</v>
      </c>
      <c r="F1185" s="2">
        <v>0</v>
      </c>
      <c r="I1185" s="1">
        <f>+COUNTIF(F$3:$F1185,F1185)</f>
        <v>318</v>
      </c>
      <c r="K1185" s="132" t="str">
        <f t="shared" si="92"/>
        <v>평일</v>
      </c>
    </row>
    <row r="1186" spans="1:11" ht="21.75" customHeight="1" x14ac:dyDescent="0.25">
      <c r="A1186" s="2">
        <f t="shared" si="89"/>
        <v>2024</v>
      </c>
      <c r="B1186" s="2">
        <f t="shared" si="90"/>
        <v>1</v>
      </c>
      <c r="C1186" s="2" t="str">
        <f t="shared" si="91"/>
        <v>목</v>
      </c>
      <c r="D1186" s="3">
        <v>45295</v>
      </c>
      <c r="E1186" s="7">
        <v>0</v>
      </c>
      <c r="F1186" s="2">
        <v>0</v>
      </c>
      <c r="I1186" s="1">
        <f>+COUNTIF(F$3:$F1186,F1186)</f>
        <v>319</v>
      </c>
      <c r="K1186" s="132" t="str">
        <f t="shared" si="92"/>
        <v>평일</v>
      </c>
    </row>
    <row r="1187" spans="1:11" ht="21.75" customHeight="1" x14ac:dyDescent="0.25">
      <c r="A1187" s="2">
        <f t="shared" si="89"/>
        <v>2024</v>
      </c>
      <c r="B1187" s="2">
        <f t="shared" si="90"/>
        <v>1</v>
      </c>
      <c r="C1187" s="2" t="str">
        <f t="shared" si="91"/>
        <v>금</v>
      </c>
      <c r="D1187" s="3">
        <v>45296</v>
      </c>
      <c r="E1187" s="7">
        <v>0</v>
      </c>
      <c r="F1187" s="2">
        <v>0</v>
      </c>
      <c r="I1187" s="1">
        <f>+COUNTIF(F$3:$F1187,F1187)</f>
        <v>320</v>
      </c>
      <c r="K1187" s="132" t="str">
        <f t="shared" si="92"/>
        <v>평일</v>
      </c>
    </row>
    <row r="1188" spans="1:11" ht="21.75" customHeight="1" x14ac:dyDescent="0.25">
      <c r="A1188" s="2">
        <f t="shared" si="89"/>
        <v>2024</v>
      </c>
      <c r="B1188" s="2">
        <f t="shared" si="90"/>
        <v>1</v>
      </c>
      <c r="C1188" s="2" t="str">
        <f t="shared" si="91"/>
        <v>토</v>
      </c>
      <c r="D1188" s="3">
        <v>45297</v>
      </c>
      <c r="E1188" s="7">
        <v>0</v>
      </c>
      <c r="F1188" s="2">
        <v>0</v>
      </c>
      <c r="I1188" s="1">
        <f>+COUNTIF(F$3:$F1188,F1188)</f>
        <v>321</v>
      </c>
      <c r="K1188" s="132" t="str">
        <f t="shared" si="92"/>
        <v>주말</v>
      </c>
    </row>
    <row r="1189" spans="1:11" ht="21.75" customHeight="1" x14ac:dyDescent="0.25">
      <c r="A1189" s="2">
        <f t="shared" si="89"/>
        <v>2024</v>
      </c>
      <c r="B1189" s="2">
        <f t="shared" si="90"/>
        <v>1</v>
      </c>
      <c r="C1189" s="2" t="str">
        <f t="shared" si="91"/>
        <v>일</v>
      </c>
      <c r="D1189" s="3">
        <v>45298</v>
      </c>
      <c r="E1189" s="7">
        <v>0</v>
      </c>
      <c r="F1189" s="2">
        <v>0</v>
      </c>
      <c r="I1189" s="1">
        <f>+COUNTIF(F$3:$F1189,F1189)</f>
        <v>322</v>
      </c>
      <c r="K1189" s="132" t="str">
        <f t="shared" si="92"/>
        <v>주말</v>
      </c>
    </row>
    <row r="1190" spans="1:11" ht="21.75" customHeight="1" x14ac:dyDescent="0.25">
      <c r="A1190" s="2">
        <f t="shared" si="89"/>
        <v>2024</v>
      </c>
      <c r="B1190" s="2">
        <f t="shared" si="90"/>
        <v>1</v>
      </c>
      <c r="C1190" s="2" t="str">
        <f t="shared" si="91"/>
        <v>월</v>
      </c>
      <c r="D1190" s="3">
        <v>45299</v>
      </c>
      <c r="E1190" s="7">
        <v>0</v>
      </c>
      <c r="F1190" s="2">
        <v>0</v>
      </c>
      <c r="I1190" s="1">
        <f>+COUNTIF(F$3:$F1190,F1190)</f>
        <v>323</v>
      </c>
      <c r="K1190" s="132" t="str">
        <f t="shared" si="92"/>
        <v>평일</v>
      </c>
    </row>
    <row r="1191" spans="1:11" ht="21.75" customHeight="1" x14ac:dyDescent="0.25">
      <c r="A1191" s="2">
        <f t="shared" si="89"/>
        <v>2024</v>
      </c>
      <c r="B1191" s="2">
        <f t="shared" si="90"/>
        <v>1</v>
      </c>
      <c r="C1191" s="2" t="str">
        <f t="shared" si="91"/>
        <v>화</v>
      </c>
      <c r="D1191" s="3">
        <v>45300</v>
      </c>
      <c r="E1191" s="7">
        <v>0</v>
      </c>
      <c r="F1191" s="2">
        <v>0</v>
      </c>
      <c r="I1191" s="1">
        <f>+COUNTIF(F$3:$F1191,F1191)</f>
        <v>324</v>
      </c>
      <c r="K1191" s="132" t="str">
        <f t="shared" si="92"/>
        <v>평일</v>
      </c>
    </row>
    <row r="1192" spans="1:11" ht="21.75" customHeight="1" x14ac:dyDescent="0.25">
      <c r="A1192" s="2">
        <f t="shared" si="89"/>
        <v>2024</v>
      </c>
      <c r="B1192" s="2">
        <f t="shared" si="90"/>
        <v>1</v>
      </c>
      <c r="C1192" s="2" t="str">
        <f t="shared" si="91"/>
        <v>수</v>
      </c>
      <c r="D1192" s="3">
        <v>45301</v>
      </c>
      <c r="E1192" s="7">
        <v>0</v>
      </c>
      <c r="F1192" s="2">
        <v>0</v>
      </c>
      <c r="I1192" s="1">
        <f>+COUNTIF(F$3:$F1192,F1192)</f>
        <v>325</v>
      </c>
      <c r="K1192" s="132" t="str">
        <f t="shared" si="92"/>
        <v>평일</v>
      </c>
    </row>
    <row r="1193" spans="1:11" ht="21.75" customHeight="1" x14ac:dyDescent="0.25">
      <c r="A1193" s="2">
        <f t="shared" si="89"/>
        <v>2024</v>
      </c>
      <c r="B1193" s="2">
        <f t="shared" si="90"/>
        <v>1</v>
      </c>
      <c r="C1193" s="2" t="str">
        <f t="shared" si="91"/>
        <v>목</v>
      </c>
      <c r="D1193" s="3">
        <v>45302</v>
      </c>
      <c r="E1193" s="7">
        <v>0</v>
      </c>
      <c r="F1193" s="2">
        <v>0</v>
      </c>
      <c r="I1193" s="1">
        <f>+COUNTIF(F$3:$F1193,F1193)</f>
        <v>326</v>
      </c>
      <c r="K1193" s="132" t="str">
        <f t="shared" si="92"/>
        <v>평일</v>
      </c>
    </row>
    <row r="1194" spans="1:11" ht="21.75" customHeight="1" x14ac:dyDescent="0.25">
      <c r="A1194" s="2">
        <f t="shared" si="89"/>
        <v>2024</v>
      </c>
      <c r="B1194" s="2">
        <f t="shared" si="90"/>
        <v>1</v>
      </c>
      <c r="C1194" s="2" t="str">
        <f t="shared" si="91"/>
        <v>금</v>
      </c>
      <c r="D1194" s="3">
        <v>45303</v>
      </c>
      <c r="E1194" s="7">
        <v>0</v>
      </c>
      <c r="F1194" s="2">
        <v>0</v>
      </c>
      <c r="I1194" s="1">
        <f>+COUNTIF(F$3:$F1194,F1194)</f>
        <v>327</v>
      </c>
      <c r="K1194" s="132" t="str">
        <f t="shared" si="92"/>
        <v>평일</v>
      </c>
    </row>
    <row r="1195" spans="1:11" ht="21.75" customHeight="1" x14ac:dyDescent="0.25">
      <c r="A1195" s="2">
        <f t="shared" si="89"/>
        <v>2024</v>
      </c>
      <c r="B1195" s="2">
        <f t="shared" si="90"/>
        <v>1</v>
      </c>
      <c r="C1195" s="2" t="str">
        <f t="shared" si="91"/>
        <v>토</v>
      </c>
      <c r="D1195" s="3">
        <v>45304</v>
      </c>
      <c r="E1195" s="7">
        <v>0</v>
      </c>
      <c r="F1195" s="2">
        <v>0</v>
      </c>
      <c r="I1195" s="1">
        <f>+COUNTIF(F$3:$F1195,F1195)</f>
        <v>328</v>
      </c>
      <c r="K1195" s="132" t="str">
        <f t="shared" si="92"/>
        <v>주말</v>
      </c>
    </row>
    <row r="1196" spans="1:11" ht="21.75" customHeight="1" x14ac:dyDescent="0.25">
      <c r="A1196" s="2">
        <f t="shared" si="89"/>
        <v>2024</v>
      </c>
      <c r="B1196" s="2">
        <f t="shared" si="90"/>
        <v>1</v>
      </c>
      <c r="C1196" s="2" t="str">
        <f t="shared" si="91"/>
        <v>일</v>
      </c>
      <c r="D1196" s="3">
        <v>45305</v>
      </c>
      <c r="E1196" s="7">
        <v>0</v>
      </c>
      <c r="F1196" s="2">
        <v>0</v>
      </c>
      <c r="I1196" s="1">
        <f>+COUNTIF(F$3:$F1196,F1196)</f>
        <v>329</v>
      </c>
      <c r="K1196" s="132" t="str">
        <f t="shared" si="92"/>
        <v>주말</v>
      </c>
    </row>
    <row r="1197" spans="1:11" ht="21.75" customHeight="1" x14ac:dyDescent="0.25">
      <c r="A1197" s="2">
        <f t="shared" si="89"/>
        <v>2024</v>
      </c>
      <c r="B1197" s="2">
        <f t="shared" si="90"/>
        <v>1</v>
      </c>
      <c r="C1197" s="2" t="str">
        <f t="shared" si="91"/>
        <v>월</v>
      </c>
      <c r="D1197" s="3">
        <v>45306</v>
      </c>
      <c r="E1197" s="7">
        <v>0</v>
      </c>
      <c r="F1197" s="2">
        <v>0</v>
      </c>
      <c r="I1197" s="1">
        <f>+COUNTIF(F$3:$F1197,F1197)</f>
        <v>330</v>
      </c>
      <c r="K1197" s="132" t="str">
        <f t="shared" si="92"/>
        <v>평일</v>
      </c>
    </row>
    <row r="1198" spans="1:11" ht="21.75" customHeight="1" x14ac:dyDescent="0.25">
      <c r="A1198" s="2">
        <f t="shared" si="89"/>
        <v>2024</v>
      </c>
      <c r="B1198" s="2">
        <f t="shared" si="90"/>
        <v>1</v>
      </c>
      <c r="C1198" s="2" t="str">
        <f t="shared" si="91"/>
        <v>화</v>
      </c>
      <c r="D1198" s="3">
        <v>45307</v>
      </c>
      <c r="E1198" s="7">
        <v>0</v>
      </c>
      <c r="F1198" s="2">
        <v>0</v>
      </c>
      <c r="I1198" s="1">
        <f>+COUNTIF(F$3:$F1198,F1198)</f>
        <v>331</v>
      </c>
      <c r="K1198" s="132" t="str">
        <f t="shared" si="92"/>
        <v>평일</v>
      </c>
    </row>
    <row r="1199" spans="1:11" ht="21.75" customHeight="1" x14ac:dyDescent="0.25">
      <c r="A1199" s="2">
        <f t="shared" si="89"/>
        <v>2024</v>
      </c>
      <c r="B1199" s="2">
        <f t="shared" si="90"/>
        <v>1</v>
      </c>
      <c r="C1199" s="2" t="str">
        <f t="shared" si="91"/>
        <v>수</v>
      </c>
      <c r="D1199" s="3">
        <v>45308</v>
      </c>
      <c r="E1199" s="7">
        <v>0</v>
      </c>
      <c r="F1199" s="2">
        <v>0</v>
      </c>
      <c r="I1199" s="1">
        <f>+COUNTIF(F$3:$F1199,F1199)</f>
        <v>332</v>
      </c>
      <c r="K1199" s="132" t="str">
        <f t="shared" si="92"/>
        <v>평일</v>
      </c>
    </row>
    <row r="1200" spans="1:11" ht="21.75" customHeight="1" x14ac:dyDescent="0.25">
      <c r="A1200" s="2">
        <f t="shared" si="89"/>
        <v>2024</v>
      </c>
      <c r="B1200" s="2">
        <f t="shared" si="90"/>
        <v>1</v>
      </c>
      <c r="C1200" s="2" t="str">
        <f t="shared" si="91"/>
        <v>목</v>
      </c>
      <c r="D1200" s="3">
        <v>45309</v>
      </c>
      <c r="E1200" s="7">
        <v>0</v>
      </c>
      <c r="F1200" s="2">
        <v>0</v>
      </c>
      <c r="I1200" s="1">
        <f>+COUNTIF(F$3:$F1200,F1200)</f>
        <v>333</v>
      </c>
      <c r="K1200" s="132" t="str">
        <f t="shared" si="92"/>
        <v>평일</v>
      </c>
    </row>
    <row r="1201" spans="1:11" ht="21.75" customHeight="1" x14ac:dyDescent="0.25">
      <c r="A1201" s="2">
        <f t="shared" si="89"/>
        <v>2024</v>
      </c>
      <c r="B1201" s="2">
        <f t="shared" si="90"/>
        <v>1</v>
      </c>
      <c r="C1201" s="2" t="str">
        <f t="shared" si="91"/>
        <v>금</v>
      </c>
      <c r="D1201" s="3">
        <v>45310</v>
      </c>
      <c r="E1201" s="7">
        <v>0</v>
      </c>
      <c r="F1201" s="2">
        <v>0</v>
      </c>
      <c r="I1201" s="1">
        <f>+COUNTIF(F$3:$F1201,F1201)</f>
        <v>334</v>
      </c>
      <c r="K1201" s="132" t="str">
        <f t="shared" si="92"/>
        <v>평일</v>
      </c>
    </row>
    <row r="1202" spans="1:11" ht="21.75" customHeight="1" x14ac:dyDescent="0.25">
      <c r="A1202" s="2">
        <f t="shared" si="89"/>
        <v>2024</v>
      </c>
      <c r="B1202" s="2">
        <f t="shared" si="90"/>
        <v>1</v>
      </c>
      <c r="C1202" s="2" t="str">
        <f t="shared" si="91"/>
        <v>토</v>
      </c>
      <c r="D1202" s="3">
        <v>45311</v>
      </c>
      <c r="E1202" s="7">
        <v>0</v>
      </c>
      <c r="F1202" s="2">
        <v>0</v>
      </c>
      <c r="I1202" s="1">
        <f>+COUNTIF(F$3:$F1202,F1202)</f>
        <v>335</v>
      </c>
      <c r="K1202" s="132" t="str">
        <f t="shared" si="92"/>
        <v>주말</v>
      </c>
    </row>
    <row r="1203" spans="1:11" ht="21.75" customHeight="1" x14ac:dyDescent="0.25">
      <c r="A1203" s="2">
        <f t="shared" si="89"/>
        <v>2024</v>
      </c>
      <c r="B1203" s="2">
        <f t="shared" si="90"/>
        <v>1</v>
      </c>
      <c r="C1203" s="2" t="str">
        <f t="shared" si="91"/>
        <v>일</v>
      </c>
      <c r="D1203" s="3">
        <v>45312</v>
      </c>
      <c r="E1203" s="7">
        <v>0</v>
      </c>
      <c r="F1203" s="2">
        <v>0</v>
      </c>
      <c r="I1203" s="1">
        <f>+COUNTIF(F$3:$F1203,F1203)</f>
        <v>336</v>
      </c>
      <c r="K1203" s="132" t="str">
        <f t="shared" si="92"/>
        <v>주말</v>
      </c>
    </row>
    <row r="1204" spans="1:11" ht="21.75" customHeight="1" x14ac:dyDescent="0.25">
      <c r="A1204" s="2">
        <f t="shared" si="89"/>
        <v>2024</v>
      </c>
      <c r="B1204" s="2">
        <f t="shared" si="90"/>
        <v>1</v>
      </c>
      <c r="C1204" s="2" t="str">
        <f t="shared" si="91"/>
        <v>월</v>
      </c>
      <c r="D1204" s="3">
        <v>45313</v>
      </c>
      <c r="E1204" s="7">
        <v>0</v>
      </c>
      <c r="F1204" s="2">
        <v>0</v>
      </c>
      <c r="I1204" s="1">
        <f>+COUNTIF(F$3:$F1204,F1204)</f>
        <v>337</v>
      </c>
      <c r="K1204" s="132" t="str">
        <f t="shared" si="92"/>
        <v>평일</v>
      </c>
    </row>
    <row r="1205" spans="1:11" ht="21.75" customHeight="1" x14ac:dyDescent="0.25">
      <c r="A1205" s="2">
        <f t="shared" si="89"/>
        <v>2024</v>
      </c>
      <c r="B1205" s="2">
        <f t="shared" si="90"/>
        <v>1</v>
      </c>
      <c r="C1205" s="2" t="str">
        <f t="shared" si="91"/>
        <v>화</v>
      </c>
      <c r="D1205" s="3">
        <v>45314</v>
      </c>
      <c r="E1205" s="7">
        <v>0</v>
      </c>
      <c r="F1205" s="2">
        <v>0</v>
      </c>
      <c r="I1205" s="1">
        <f>+COUNTIF(F$3:$F1205,F1205)</f>
        <v>338</v>
      </c>
      <c r="K1205" s="132" t="str">
        <f t="shared" si="92"/>
        <v>평일</v>
      </c>
    </row>
    <row r="1206" spans="1:11" ht="21.75" customHeight="1" x14ac:dyDescent="0.25">
      <c r="A1206" s="2">
        <f t="shared" si="89"/>
        <v>2024</v>
      </c>
      <c r="B1206" s="2">
        <f t="shared" si="90"/>
        <v>1</v>
      </c>
      <c r="C1206" s="2" t="str">
        <f t="shared" si="91"/>
        <v>수</v>
      </c>
      <c r="D1206" s="3">
        <v>45315</v>
      </c>
      <c r="E1206" s="7">
        <v>0</v>
      </c>
      <c r="F1206" s="2">
        <v>0</v>
      </c>
      <c r="I1206" s="1">
        <f>+COUNTIF(F$3:$F1206,F1206)</f>
        <v>339</v>
      </c>
      <c r="K1206" s="132" t="str">
        <f t="shared" si="92"/>
        <v>평일</v>
      </c>
    </row>
    <row r="1207" spans="1:11" ht="21.75" customHeight="1" x14ac:dyDescent="0.25">
      <c r="A1207" s="2">
        <f t="shared" si="89"/>
        <v>2024</v>
      </c>
      <c r="B1207" s="2">
        <f t="shared" si="90"/>
        <v>1</v>
      </c>
      <c r="C1207" s="2" t="str">
        <f t="shared" si="91"/>
        <v>목</v>
      </c>
      <c r="D1207" s="3">
        <v>45316</v>
      </c>
      <c r="E1207" s="7">
        <v>0</v>
      </c>
      <c r="F1207" s="2">
        <v>0</v>
      </c>
      <c r="I1207" s="1">
        <f>+COUNTIF(F$3:$F1207,F1207)</f>
        <v>340</v>
      </c>
      <c r="K1207" s="132" t="str">
        <f t="shared" si="92"/>
        <v>평일</v>
      </c>
    </row>
    <row r="1208" spans="1:11" ht="21.75" customHeight="1" x14ac:dyDescent="0.25">
      <c r="A1208" s="2">
        <f t="shared" si="89"/>
        <v>2024</v>
      </c>
      <c r="B1208" s="2">
        <f t="shared" si="90"/>
        <v>1</v>
      </c>
      <c r="C1208" s="2" t="str">
        <f t="shared" si="91"/>
        <v>금</v>
      </c>
      <c r="D1208" s="3">
        <v>45317</v>
      </c>
      <c r="E1208" s="7">
        <v>0</v>
      </c>
      <c r="F1208" s="2">
        <v>0</v>
      </c>
      <c r="I1208" s="1">
        <f>+COUNTIF(F$3:$F1208,F1208)</f>
        <v>341</v>
      </c>
      <c r="K1208" s="132" t="str">
        <f t="shared" si="92"/>
        <v>평일</v>
      </c>
    </row>
    <row r="1209" spans="1:11" ht="21.75" customHeight="1" x14ac:dyDescent="0.25">
      <c r="A1209" s="2">
        <f t="shared" si="89"/>
        <v>2024</v>
      </c>
      <c r="B1209" s="2">
        <f t="shared" si="90"/>
        <v>1</v>
      </c>
      <c r="C1209" s="2" t="str">
        <f t="shared" si="91"/>
        <v>토</v>
      </c>
      <c r="D1209" s="3">
        <v>45318</v>
      </c>
      <c r="E1209" s="7">
        <v>0</v>
      </c>
      <c r="F1209" s="2">
        <v>0</v>
      </c>
      <c r="I1209" s="1">
        <f>+COUNTIF(F$3:$F1209,F1209)</f>
        <v>342</v>
      </c>
      <c r="K1209" s="132" t="str">
        <f t="shared" si="92"/>
        <v>주말</v>
      </c>
    </row>
    <row r="1210" spans="1:11" ht="21.75" customHeight="1" x14ac:dyDescent="0.25">
      <c r="A1210" s="2">
        <f t="shared" si="89"/>
        <v>2024</v>
      </c>
      <c r="B1210" s="2">
        <f t="shared" si="90"/>
        <v>1</v>
      </c>
      <c r="C1210" s="2" t="str">
        <f t="shared" si="91"/>
        <v>일</v>
      </c>
      <c r="D1210" s="3">
        <v>45319</v>
      </c>
      <c r="E1210" s="7">
        <v>0</v>
      </c>
      <c r="F1210" s="2">
        <v>0</v>
      </c>
      <c r="I1210" s="1">
        <f>+COUNTIF(F$3:$F1210,F1210)</f>
        <v>343</v>
      </c>
      <c r="K1210" s="132" t="str">
        <f t="shared" si="92"/>
        <v>주말</v>
      </c>
    </row>
    <row r="1211" spans="1:11" ht="21.75" customHeight="1" x14ac:dyDescent="0.25">
      <c r="A1211" s="2">
        <f t="shared" si="89"/>
        <v>2024</v>
      </c>
      <c r="B1211" s="2">
        <f t="shared" si="90"/>
        <v>1</v>
      </c>
      <c r="C1211" s="2" t="str">
        <f t="shared" si="91"/>
        <v>월</v>
      </c>
      <c r="D1211" s="3">
        <v>45320</v>
      </c>
      <c r="E1211" s="7">
        <v>0</v>
      </c>
      <c r="F1211" s="2">
        <v>0</v>
      </c>
      <c r="I1211" s="1">
        <f>+COUNTIF(F$3:$F1211,F1211)</f>
        <v>344</v>
      </c>
      <c r="K1211" s="132" t="str">
        <f t="shared" si="92"/>
        <v>평일</v>
      </c>
    </row>
    <row r="1212" spans="1:11" ht="21.75" customHeight="1" x14ac:dyDescent="0.25">
      <c r="A1212" s="2">
        <f t="shared" si="89"/>
        <v>2024</v>
      </c>
      <c r="B1212" s="2">
        <f t="shared" si="90"/>
        <v>1</v>
      </c>
      <c r="C1212" s="2" t="str">
        <f t="shared" si="91"/>
        <v>화</v>
      </c>
      <c r="D1212" s="3">
        <v>45321</v>
      </c>
      <c r="E1212" s="7">
        <v>0</v>
      </c>
      <c r="F1212" s="2">
        <v>0</v>
      </c>
      <c r="I1212" s="1">
        <f>+COUNTIF(F$3:$F1212,F1212)</f>
        <v>345</v>
      </c>
      <c r="K1212" s="132" t="str">
        <f t="shared" si="92"/>
        <v>평일</v>
      </c>
    </row>
    <row r="1213" spans="1:11" ht="21.75" customHeight="1" x14ac:dyDescent="0.25">
      <c r="A1213" s="2">
        <f t="shared" si="89"/>
        <v>2024</v>
      </c>
      <c r="B1213" s="2">
        <f t="shared" si="90"/>
        <v>1</v>
      </c>
      <c r="C1213" s="2" t="str">
        <f t="shared" si="91"/>
        <v>수</v>
      </c>
      <c r="D1213" s="3">
        <v>45322</v>
      </c>
      <c r="E1213" s="7">
        <v>0</v>
      </c>
      <c r="F1213" s="2">
        <v>0</v>
      </c>
      <c r="I1213" s="1">
        <f>+COUNTIF(F$3:$F1213,F1213)</f>
        <v>346</v>
      </c>
      <c r="K1213" s="132" t="str">
        <f t="shared" si="92"/>
        <v>평일</v>
      </c>
    </row>
    <row r="1214" spans="1:11" ht="21.75" customHeight="1" x14ac:dyDescent="0.25">
      <c r="A1214" s="2">
        <f t="shared" si="89"/>
        <v>2024</v>
      </c>
      <c r="B1214" s="2">
        <f t="shared" si="90"/>
        <v>2</v>
      </c>
      <c r="C1214" s="2" t="str">
        <f t="shared" si="91"/>
        <v>목</v>
      </c>
      <c r="D1214" s="3">
        <v>45323</v>
      </c>
      <c r="E1214" s="7">
        <v>0</v>
      </c>
      <c r="F1214" s="2">
        <v>0</v>
      </c>
      <c r="I1214" s="1">
        <f>+COUNTIF(F$3:$F1214,F1214)</f>
        <v>347</v>
      </c>
      <c r="K1214" s="132" t="str">
        <f t="shared" si="92"/>
        <v>평일</v>
      </c>
    </row>
    <row r="1215" spans="1:11" ht="21.75" customHeight="1" x14ac:dyDescent="0.25">
      <c r="A1215" s="2">
        <f t="shared" si="89"/>
        <v>2024</v>
      </c>
      <c r="B1215" s="2">
        <f t="shared" si="90"/>
        <v>2</v>
      </c>
      <c r="C1215" s="2" t="str">
        <f t="shared" si="91"/>
        <v>금</v>
      </c>
      <c r="D1215" s="3">
        <v>45324</v>
      </c>
      <c r="E1215" s="7">
        <v>0</v>
      </c>
      <c r="F1215" s="2">
        <v>0</v>
      </c>
      <c r="I1215" s="1">
        <f>+COUNTIF(F$3:$F1215,F1215)</f>
        <v>348</v>
      </c>
      <c r="K1215" s="132" t="str">
        <f t="shared" si="92"/>
        <v>평일</v>
      </c>
    </row>
    <row r="1216" spans="1:11" ht="21.75" customHeight="1" x14ac:dyDescent="0.25">
      <c r="A1216" s="2">
        <f t="shared" si="89"/>
        <v>2024</v>
      </c>
      <c r="B1216" s="2">
        <f t="shared" si="90"/>
        <v>2</v>
      </c>
      <c r="C1216" s="2" t="str">
        <f t="shared" si="91"/>
        <v>토</v>
      </c>
      <c r="D1216" s="3">
        <v>45325</v>
      </c>
      <c r="E1216" s="7">
        <v>0</v>
      </c>
      <c r="F1216" s="2">
        <v>0</v>
      </c>
      <c r="I1216" s="1">
        <f>+COUNTIF(F$3:$F1216,F1216)</f>
        <v>349</v>
      </c>
      <c r="K1216" s="132" t="str">
        <f t="shared" si="92"/>
        <v>주말</v>
      </c>
    </row>
    <row r="1217" spans="1:11" ht="21.75" customHeight="1" x14ac:dyDescent="0.25">
      <c r="A1217" s="2">
        <f t="shared" si="89"/>
        <v>2024</v>
      </c>
      <c r="B1217" s="2">
        <f t="shared" si="90"/>
        <v>2</v>
      </c>
      <c r="C1217" s="2" t="str">
        <f t="shared" si="91"/>
        <v>일</v>
      </c>
      <c r="D1217" s="3">
        <v>45326</v>
      </c>
      <c r="E1217" s="7">
        <v>0</v>
      </c>
      <c r="F1217" s="2">
        <v>0</v>
      </c>
      <c r="I1217" s="1">
        <f>+COUNTIF(F$3:$F1217,F1217)</f>
        <v>350</v>
      </c>
      <c r="K1217" s="132" t="str">
        <f t="shared" si="92"/>
        <v>주말</v>
      </c>
    </row>
    <row r="1218" spans="1:11" ht="21.75" customHeight="1" x14ac:dyDescent="0.25">
      <c r="A1218" s="2">
        <f t="shared" si="89"/>
        <v>2024</v>
      </c>
      <c r="B1218" s="2">
        <f t="shared" si="90"/>
        <v>2</v>
      </c>
      <c r="C1218" s="2" t="str">
        <f t="shared" si="91"/>
        <v>월</v>
      </c>
      <c r="D1218" s="3">
        <v>45327</v>
      </c>
      <c r="E1218" s="7">
        <v>0</v>
      </c>
      <c r="F1218" s="2">
        <v>0</v>
      </c>
      <c r="I1218" s="1">
        <f>+COUNTIF(F$3:$F1218,F1218)</f>
        <v>351</v>
      </c>
      <c r="K1218" s="132" t="str">
        <f t="shared" si="92"/>
        <v>평일</v>
      </c>
    </row>
    <row r="1219" spans="1:11" ht="21.75" customHeight="1" x14ac:dyDescent="0.25">
      <c r="A1219" s="2">
        <f t="shared" si="89"/>
        <v>2024</v>
      </c>
      <c r="B1219" s="2">
        <f t="shared" si="90"/>
        <v>2</v>
      </c>
      <c r="C1219" s="2" t="str">
        <f t="shared" si="91"/>
        <v>화</v>
      </c>
      <c r="D1219" s="3">
        <v>45328</v>
      </c>
      <c r="E1219" s="7">
        <v>0</v>
      </c>
      <c r="F1219" s="2">
        <v>0</v>
      </c>
      <c r="I1219" s="1">
        <f>+COUNTIF(F$3:$F1219,F1219)</f>
        <v>352</v>
      </c>
      <c r="K1219" s="132" t="str">
        <f t="shared" si="92"/>
        <v>평일</v>
      </c>
    </row>
    <row r="1220" spans="1:11" ht="21.75" customHeight="1" x14ac:dyDescent="0.25">
      <c r="A1220" s="2">
        <f t="shared" ref="A1220:A1283" si="93">+YEAR(D1220)</f>
        <v>2024</v>
      </c>
      <c r="B1220" s="2">
        <f t="shared" ref="B1220:B1283" si="94">+MONTH(D1220)</f>
        <v>2</v>
      </c>
      <c r="C1220" s="2" t="str">
        <f t="shared" ref="C1220:C1283" si="95">+TEXT(D1220,"aaa")</f>
        <v>수</v>
      </c>
      <c r="D1220" s="3">
        <v>45329</v>
      </c>
      <c r="E1220" s="7">
        <v>0</v>
      </c>
      <c r="F1220" s="2">
        <v>0</v>
      </c>
      <c r="I1220" s="1">
        <f>+COUNTIF(F$3:$F1220,F1220)</f>
        <v>353</v>
      </c>
      <c r="K1220" s="132" t="str">
        <f t="shared" ref="K1220:K1283" si="96">+IF(OR(C1220="토",C1220="일"),"주말","평일")</f>
        <v>평일</v>
      </c>
    </row>
    <row r="1221" spans="1:11" ht="21.75" customHeight="1" x14ac:dyDescent="0.25">
      <c r="A1221" s="2">
        <f t="shared" si="93"/>
        <v>2024</v>
      </c>
      <c r="B1221" s="2">
        <f t="shared" si="94"/>
        <v>2</v>
      </c>
      <c r="C1221" s="2" t="str">
        <f t="shared" si="95"/>
        <v>목</v>
      </c>
      <c r="D1221" s="3">
        <v>45330</v>
      </c>
      <c r="E1221" s="7">
        <v>0</v>
      </c>
      <c r="F1221" s="2">
        <v>0</v>
      </c>
      <c r="I1221" s="1">
        <f>+COUNTIF(F$3:$F1221,F1221)</f>
        <v>354</v>
      </c>
      <c r="K1221" s="132" t="str">
        <f t="shared" si="96"/>
        <v>평일</v>
      </c>
    </row>
    <row r="1222" spans="1:11" ht="21.75" customHeight="1" x14ac:dyDescent="0.25">
      <c r="A1222" s="2">
        <f t="shared" si="93"/>
        <v>2024</v>
      </c>
      <c r="B1222" s="2">
        <f t="shared" si="94"/>
        <v>2</v>
      </c>
      <c r="C1222" s="2" t="str">
        <f t="shared" si="95"/>
        <v>금</v>
      </c>
      <c r="D1222" s="3">
        <v>45331</v>
      </c>
      <c r="E1222" s="7">
        <v>0</v>
      </c>
      <c r="F1222" s="2">
        <v>0</v>
      </c>
      <c r="I1222" s="1">
        <f>+COUNTIF(F$3:$F1222,F1222)</f>
        <v>355</v>
      </c>
      <c r="K1222" s="132" t="str">
        <f t="shared" si="96"/>
        <v>평일</v>
      </c>
    </row>
    <row r="1223" spans="1:11" ht="21.75" customHeight="1" x14ac:dyDescent="0.25">
      <c r="A1223" s="2">
        <f t="shared" si="93"/>
        <v>2024</v>
      </c>
      <c r="B1223" s="2">
        <f t="shared" si="94"/>
        <v>2</v>
      </c>
      <c r="C1223" s="2" t="str">
        <f t="shared" si="95"/>
        <v>토</v>
      </c>
      <c r="D1223" s="3">
        <v>45332</v>
      </c>
      <c r="E1223" s="7">
        <v>0</v>
      </c>
      <c r="F1223" s="2">
        <v>0</v>
      </c>
      <c r="I1223" s="1">
        <f>+COUNTIF(F$3:$F1223,F1223)</f>
        <v>356</v>
      </c>
      <c r="K1223" s="132" t="str">
        <f t="shared" si="96"/>
        <v>주말</v>
      </c>
    </row>
    <row r="1224" spans="1:11" ht="21.75" customHeight="1" x14ac:dyDescent="0.25">
      <c r="A1224" s="2">
        <f t="shared" si="93"/>
        <v>2024</v>
      </c>
      <c r="B1224" s="2">
        <f t="shared" si="94"/>
        <v>2</v>
      </c>
      <c r="C1224" s="2" t="str">
        <f t="shared" si="95"/>
        <v>일</v>
      </c>
      <c r="D1224" s="3">
        <v>45333</v>
      </c>
      <c r="E1224" s="7">
        <v>0</v>
      </c>
      <c r="F1224" s="2">
        <v>0</v>
      </c>
      <c r="I1224" s="1">
        <f>+COUNTIF(F$3:$F1224,F1224)</f>
        <v>357</v>
      </c>
      <c r="K1224" s="132" t="str">
        <f t="shared" si="96"/>
        <v>주말</v>
      </c>
    </row>
    <row r="1225" spans="1:11" ht="21.75" customHeight="1" x14ac:dyDescent="0.25">
      <c r="A1225" s="2">
        <f t="shared" si="93"/>
        <v>2024</v>
      </c>
      <c r="B1225" s="2">
        <f t="shared" si="94"/>
        <v>2</v>
      </c>
      <c r="C1225" s="2" t="str">
        <f t="shared" si="95"/>
        <v>월</v>
      </c>
      <c r="D1225" s="3">
        <v>45334</v>
      </c>
      <c r="E1225" s="7">
        <v>0</v>
      </c>
      <c r="F1225" s="2">
        <v>0</v>
      </c>
      <c r="I1225" s="1">
        <f>+COUNTIF(F$3:$F1225,F1225)</f>
        <v>358</v>
      </c>
      <c r="K1225" s="132" t="str">
        <f t="shared" si="96"/>
        <v>평일</v>
      </c>
    </row>
    <row r="1226" spans="1:11" ht="21.75" customHeight="1" x14ac:dyDescent="0.25">
      <c r="A1226" s="2">
        <f t="shared" si="93"/>
        <v>2024</v>
      </c>
      <c r="B1226" s="2">
        <f t="shared" si="94"/>
        <v>2</v>
      </c>
      <c r="C1226" s="2" t="str">
        <f t="shared" si="95"/>
        <v>화</v>
      </c>
      <c r="D1226" s="3">
        <v>45335</v>
      </c>
      <c r="E1226" s="7">
        <v>0</v>
      </c>
      <c r="F1226" s="2">
        <v>0</v>
      </c>
      <c r="I1226" s="1">
        <f>+COUNTIF(F$3:$F1226,F1226)</f>
        <v>359</v>
      </c>
      <c r="K1226" s="132" t="str">
        <f t="shared" si="96"/>
        <v>평일</v>
      </c>
    </row>
    <row r="1227" spans="1:11" ht="21.75" customHeight="1" x14ac:dyDescent="0.25">
      <c r="A1227" s="2">
        <f t="shared" si="93"/>
        <v>2024</v>
      </c>
      <c r="B1227" s="2">
        <f t="shared" si="94"/>
        <v>2</v>
      </c>
      <c r="C1227" s="2" t="str">
        <f t="shared" si="95"/>
        <v>수</v>
      </c>
      <c r="D1227" s="3">
        <v>45336</v>
      </c>
      <c r="E1227" s="7">
        <v>0</v>
      </c>
      <c r="F1227" s="2">
        <v>0</v>
      </c>
      <c r="I1227" s="1">
        <f>+COUNTIF(F$3:$F1227,F1227)</f>
        <v>360</v>
      </c>
      <c r="K1227" s="132" t="str">
        <f t="shared" si="96"/>
        <v>평일</v>
      </c>
    </row>
    <row r="1228" spans="1:11" ht="21.75" customHeight="1" x14ac:dyDescent="0.25">
      <c r="A1228" s="2">
        <f t="shared" si="93"/>
        <v>2024</v>
      </c>
      <c r="B1228" s="2">
        <f t="shared" si="94"/>
        <v>2</v>
      </c>
      <c r="C1228" s="2" t="str">
        <f t="shared" si="95"/>
        <v>목</v>
      </c>
      <c r="D1228" s="3">
        <v>45337</v>
      </c>
      <c r="E1228" s="7">
        <v>0</v>
      </c>
      <c r="F1228" s="2">
        <v>0</v>
      </c>
      <c r="I1228" s="1">
        <f>+COUNTIF(F$3:$F1228,F1228)</f>
        <v>361</v>
      </c>
      <c r="K1228" s="132" t="str">
        <f t="shared" si="96"/>
        <v>평일</v>
      </c>
    </row>
    <row r="1229" spans="1:11" ht="21.75" customHeight="1" x14ac:dyDescent="0.25">
      <c r="A1229" s="2">
        <f t="shared" si="93"/>
        <v>2024</v>
      </c>
      <c r="B1229" s="2">
        <f t="shared" si="94"/>
        <v>2</v>
      </c>
      <c r="C1229" s="2" t="str">
        <f t="shared" si="95"/>
        <v>금</v>
      </c>
      <c r="D1229" s="3">
        <v>45338</v>
      </c>
      <c r="E1229" s="7">
        <v>0</v>
      </c>
      <c r="F1229" s="2">
        <v>0</v>
      </c>
      <c r="I1229" s="1">
        <f>+COUNTIF(F$3:$F1229,F1229)</f>
        <v>362</v>
      </c>
      <c r="K1229" s="132" t="str">
        <f t="shared" si="96"/>
        <v>평일</v>
      </c>
    </row>
    <row r="1230" spans="1:11" ht="21.75" customHeight="1" x14ac:dyDescent="0.25">
      <c r="A1230" s="2">
        <f t="shared" si="93"/>
        <v>2024</v>
      </c>
      <c r="B1230" s="2">
        <f t="shared" si="94"/>
        <v>2</v>
      </c>
      <c r="C1230" s="2" t="str">
        <f t="shared" si="95"/>
        <v>토</v>
      </c>
      <c r="D1230" s="3">
        <v>45339</v>
      </c>
      <c r="E1230" s="7">
        <v>0</v>
      </c>
      <c r="F1230" s="2">
        <v>0</v>
      </c>
      <c r="I1230" s="1">
        <f>+COUNTIF(F$3:$F1230,F1230)</f>
        <v>363</v>
      </c>
      <c r="K1230" s="132" t="str">
        <f t="shared" si="96"/>
        <v>주말</v>
      </c>
    </row>
    <row r="1231" spans="1:11" ht="21.75" customHeight="1" x14ac:dyDescent="0.25">
      <c r="A1231" s="2">
        <f t="shared" si="93"/>
        <v>2024</v>
      </c>
      <c r="B1231" s="2">
        <f t="shared" si="94"/>
        <v>2</v>
      </c>
      <c r="C1231" s="2" t="str">
        <f t="shared" si="95"/>
        <v>일</v>
      </c>
      <c r="D1231" s="3">
        <v>45340</v>
      </c>
      <c r="E1231" s="7">
        <v>0</v>
      </c>
      <c r="F1231" s="2">
        <v>0</v>
      </c>
      <c r="I1231" s="1">
        <f>+COUNTIF(F$3:$F1231,F1231)</f>
        <v>364</v>
      </c>
      <c r="K1231" s="132" t="str">
        <f t="shared" si="96"/>
        <v>주말</v>
      </c>
    </row>
    <row r="1232" spans="1:11" ht="21.75" customHeight="1" x14ac:dyDescent="0.25">
      <c r="A1232" s="2">
        <f t="shared" si="93"/>
        <v>2024</v>
      </c>
      <c r="B1232" s="2">
        <f t="shared" si="94"/>
        <v>2</v>
      </c>
      <c r="C1232" s="2" t="str">
        <f t="shared" si="95"/>
        <v>월</v>
      </c>
      <c r="D1232" s="3">
        <v>45341</v>
      </c>
      <c r="E1232" s="7">
        <v>0</v>
      </c>
      <c r="F1232" s="2">
        <v>0</v>
      </c>
      <c r="I1232" s="1">
        <f>+COUNTIF(F$3:$F1232,F1232)</f>
        <v>365</v>
      </c>
      <c r="K1232" s="132" t="str">
        <f t="shared" si="96"/>
        <v>평일</v>
      </c>
    </row>
    <row r="1233" spans="1:11" ht="21.75" customHeight="1" x14ac:dyDescent="0.25">
      <c r="A1233" s="2">
        <f t="shared" si="93"/>
        <v>2024</v>
      </c>
      <c r="B1233" s="2">
        <f t="shared" si="94"/>
        <v>2</v>
      </c>
      <c r="C1233" s="2" t="str">
        <f t="shared" si="95"/>
        <v>화</v>
      </c>
      <c r="D1233" s="3">
        <v>45342</v>
      </c>
      <c r="E1233" s="7">
        <v>0</v>
      </c>
      <c r="F1233" s="2">
        <v>0</v>
      </c>
      <c r="I1233" s="1">
        <f>+COUNTIF(F$3:$F1233,F1233)</f>
        <v>366</v>
      </c>
      <c r="K1233" s="132" t="str">
        <f t="shared" si="96"/>
        <v>평일</v>
      </c>
    </row>
    <row r="1234" spans="1:11" ht="21.75" customHeight="1" x14ac:dyDescent="0.25">
      <c r="A1234" s="2">
        <f t="shared" si="93"/>
        <v>2024</v>
      </c>
      <c r="B1234" s="2">
        <f t="shared" si="94"/>
        <v>2</v>
      </c>
      <c r="C1234" s="2" t="str">
        <f t="shared" si="95"/>
        <v>수</v>
      </c>
      <c r="D1234" s="3">
        <v>45343</v>
      </c>
      <c r="E1234" s="7">
        <v>0</v>
      </c>
      <c r="F1234" s="2">
        <v>0</v>
      </c>
      <c r="I1234" s="1">
        <f>+COUNTIF(F$3:$F1234,F1234)</f>
        <v>367</v>
      </c>
      <c r="K1234" s="132" t="str">
        <f t="shared" si="96"/>
        <v>평일</v>
      </c>
    </row>
    <row r="1235" spans="1:11" ht="21.75" customHeight="1" x14ac:dyDescent="0.25">
      <c r="A1235" s="2">
        <f t="shared" si="93"/>
        <v>2024</v>
      </c>
      <c r="B1235" s="2">
        <f t="shared" si="94"/>
        <v>2</v>
      </c>
      <c r="C1235" s="2" t="str">
        <f t="shared" si="95"/>
        <v>목</v>
      </c>
      <c r="D1235" s="3">
        <v>45344</v>
      </c>
      <c r="E1235" s="7">
        <v>0</v>
      </c>
      <c r="F1235" s="2">
        <v>0</v>
      </c>
      <c r="I1235" s="1">
        <f>+COUNTIF(F$3:$F1235,F1235)</f>
        <v>368</v>
      </c>
      <c r="K1235" s="132" t="str">
        <f t="shared" si="96"/>
        <v>평일</v>
      </c>
    </row>
    <row r="1236" spans="1:11" ht="21.75" customHeight="1" x14ac:dyDescent="0.25">
      <c r="A1236" s="2">
        <f t="shared" si="93"/>
        <v>2024</v>
      </c>
      <c r="B1236" s="2">
        <f t="shared" si="94"/>
        <v>2</v>
      </c>
      <c r="C1236" s="2" t="str">
        <f t="shared" si="95"/>
        <v>금</v>
      </c>
      <c r="D1236" s="3">
        <v>45345</v>
      </c>
      <c r="E1236" s="7">
        <v>0</v>
      </c>
      <c r="F1236" s="2">
        <v>0</v>
      </c>
      <c r="I1236" s="1">
        <f>+COUNTIF(F$3:$F1236,F1236)</f>
        <v>369</v>
      </c>
      <c r="K1236" s="132" t="str">
        <f t="shared" si="96"/>
        <v>평일</v>
      </c>
    </row>
    <row r="1237" spans="1:11" ht="21.75" customHeight="1" x14ac:dyDescent="0.25">
      <c r="A1237" s="2">
        <f t="shared" si="93"/>
        <v>2024</v>
      </c>
      <c r="B1237" s="2">
        <f t="shared" si="94"/>
        <v>2</v>
      </c>
      <c r="C1237" s="2" t="str">
        <f t="shared" si="95"/>
        <v>토</v>
      </c>
      <c r="D1237" s="3">
        <v>45346</v>
      </c>
      <c r="E1237" s="7">
        <v>626</v>
      </c>
      <c r="F1237" s="2" t="s">
        <v>15</v>
      </c>
      <c r="G1237" s="1">
        <v>91</v>
      </c>
      <c r="H1237" s="6">
        <f>+E1237-G1237</f>
        <v>535</v>
      </c>
      <c r="I1237" s="1">
        <f>+COUNTIF(F$3:$F1237,F1237)</f>
        <v>1</v>
      </c>
      <c r="K1237" s="132" t="str">
        <f t="shared" si="96"/>
        <v>주말</v>
      </c>
    </row>
    <row r="1238" spans="1:11" ht="21.75" customHeight="1" x14ac:dyDescent="0.25">
      <c r="A1238" s="2">
        <f t="shared" si="93"/>
        <v>2024</v>
      </c>
      <c r="B1238" s="2">
        <f t="shared" si="94"/>
        <v>2</v>
      </c>
      <c r="C1238" s="2" t="str">
        <f t="shared" si="95"/>
        <v>일</v>
      </c>
      <c r="D1238" s="3">
        <v>45347</v>
      </c>
      <c r="E1238" s="7">
        <v>389</v>
      </c>
      <c r="F1238" s="2" t="s">
        <v>15</v>
      </c>
      <c r="G1238" s="1">
        <v>19</v>
      </c>
      <c r="H1238" s="6">
        <f t="shared" ref="H1238:H1281" si="97">+E1238-G1238</f>
        <v>370</v>
      </c>
      <c r="I1238" s="1">
        <f>+COUNTIF(F$3:$F1238,F1238)</f>
        <v>2</v>
      </c>
      <c r="K1238" s="132" t="str">
        <f t="shared" si="96"/>
        <v>주말</v>
      </c>
    </row>
    <row r="1239" spans="1:11" ht="21.75" customHeight="1" x14ac:dyDescent="0.25">
      <c r="A1239" s="2">
        <f t="shared" si="93"/>
        <v>2024</v>
      </c>
      <c r="B1239" s="2">
        <f t="shared" si="94"/>
        <v>2</v>
      </c>
      <c r="C1239" s="2" t="str">
        <f t="shared" si="95"/>
        <v>월</v>
      </c>
      <c r="D1239" s="3">
        <v>45348</v>
      </c>
      <c r="E1239" s="7">
        <v>135</v>
      </c>
      <c r="F1239" s="2" t="s">
        <v>15</v>
      </c>
      <c r="G1239" s="1">
        <v>14</v>
      </c>
      <c r="H1239" s="6">
        <f t="shared" si="97"/>
        <v>121</v>
      </c>
      <c r="I1239" s="1">
        <f>+COUNTIF(F$3:$F1239,F1239)</f>
        <v>3</v>
      </c>
      <c r="K1239" s="132" t="str">
        <f t="shared" si="96"/>
        <v>평일</v>
      </c>
    </row>
    <row r="1240" spans="1:11" ht="21.75" customHeight="1" x14ac:dyDescent="0.25">
      <c r="A1240" s="2">
        <f t="shared" si="93"/>
        <v>2024</v>
      </c>
      <c r="B1240" s="2">
        <f t="shared" si="94"/>
        <v>2</v>
      </c>
      <c r="C1240" s="2" t="str">
        <f t="shared" si="95"/>
        <v>화</v>
      </c>
      <c r="D1240" s="3">
        <v>45349</v>
      </c>
      <c r="E1240" s="7">
        <v>161</v>
      </c>
      <c r="F1240" s="2" t="s">
        <v>15</v>
      </c>
      <c r="G1240" s="1">
        <v>5</v>
      </c>
      <c r="H1240" s="6">
        <f t="shared" si="97"/>
        <v>156</v>
      </c>
      <c r="I1240" s="1">
        <f>+COUNTIF(F$3:$F1240,F1240)</f>
        <v>4</v>
      </c>
      <c r="K1240" s="132" t="str">
        <f t="shared" si="96"/>
        <v>평일</v>
      </c>
    </row>
    <row r="1241" spans="1:11" ht="21.75" customHeight="1" x14ac:dyDescent="0.25">
      <c r="A1241" s="2">
        <f t="shared" si="93"/>
        <v>2024</v>
      </c>
      <c r="B1241" s="2">
        <f t="shared" si="94"/>
        <v>2</v>
      </c>
      <c r="C1241" s="2" t="str">
        <f t="shared" si="95"/>
        <v>수</v>
      </c>
      <c r="D1241" s="3">
        <v>45350</v>
      </c>
      <c r="E1241" s="7">
        <v>175</v>
      </c>
      <c r="F1241" s="2" t="s">
        <v>15</v>
      </c>
      <c r="G1241" s="1">
        <v>27</v>
      </c>
      <c r="H1241" s="6">
        <f t="shared" si="97"/>
        <v>148</v>
      </c>
      <c r="I1241" s="1">
        <f>+COUNTIF(F$3:$F1241,F1241)</f>
        <v>5</v>
      </c>
      <c r="K1241" s="132" t="str">
        <f t="shared" si="96"/>
        <v>평일</v>
      </c>
    </row>
    <row r="1242" spans="1:11" ht="21.75" customHeight="1" x14ac:dyDescent="0.25">
      <c r="A1242" s="2">
        <f t="shared" si="93"/>
        <v>2024</v>
      </c>
      <c r="B1242" s="2">
        <f t="shared" si="94"/>
        <v>2</v>
      </c>
      <c r="C1242" s="2" t="str">
        <f t="shared" si="95"/>
        <v>목</v>
      </c>
      <c r="D1242" s="3">
        <v>45351</v>
      </c>
      <c r="E1242" s="7">
        <v>140</v>
      </c>
      <c r="F1242" s="2" t="s">
        <v>15</v>
      </c>
      <c r="G1242" s="1">
        <v>10</v>
      </c>
      <c r="H1242" s="6">
        <f t="shared" si="97"/>
        <v>130</v>
      </c>
      <c r="I1242" s="1">
        <f>+COUNTIF(F$3:$F1242,F1242)</f>
        <v>6</v>
      </c>
      <c r="K1242" s="132" t="str">
        <f t="shared" si="96"/>
        <v>평일</v>
      </c>
    </row>
    <row r="1243" spans="1:11" ht="21.75" customHeight="1" x14ac:dyDescent="0.25">
      <c r="A1243" s="2">
        <f t="shared" si="93"/>
        <v>2024</v>
      </c>
      <c r="B1243" s="2">
        <f t="shared" si="94"/>
        <v>3</v>
      </c>
      <c r="C1243" s="2" t="str">
        <f t="shared" si="95"/>
        <v>금</v>
      </c>
      <c r="D1243" s="3">
        <v>45352</v>
      </c>
      <c r="E1243" s="7">
        <v>637</v>
      </c>
      <c r="F1243" s="2" t="s">
        <v>15</v>
      </c>
      <c r="G1243" s="1">
        <v>63</v>
      </c>
      <c r="H1243" s="6">
        <f t="shared" si="97"/>
        <v>574</v>
      </c>
      <c r="I1243" s="1">
        <f>+COUNTIF(F$3:$F1243,F1243)</f>
        <v>7</v>
      </c>
      <c r="K1243" s="132" t="str">
        <f t="shared" si="96"/>
        <v>평일</v>
      </c>
    </row>
    <row r="1244" spans="1:11" ht="21.75" customHeight="1" x14ac:dyDescent="0.25">
      <c r="A1244" s="2">
        <f t="shared" si="93"/>
        <v>2024</v>
      </c>
      <c r="B1244" s="2">
        <f t="shared" si="94"/>
        <v>3</v>
      </c>
      <c r="C1244" s="2" t="str">
        <f t="shared" si="95"/>
        <v>토</v>
      </c>
      <c r="D1244" s="3">
        <v>45353</v>
      </c>
      <c r="E1244" s="7">
        <v>452</v>
      </c>
      <c r="F1244" s="2" t="s">
        <v>15</v>
      </c>
      <c r="G1244" s="1">
        <v>25</v>
      </c>
      <c r="H1244" s="6">
        <f t="shared" si="97"/>
        <v>427</v>
      </c>
      <c r="I1244" s="1">
        <f>+COUNTIF(F$3:$F1244,F1244)</f>
        <v>8</v>
      </c>
      <c r="K1244" s="132" t="str">
        <f t="shared" si="96"/>
        <v>주말</v>
      </c>
    </row>
    <row r="1245" spans="1:11" ht="21.75" customHeight="1" x14ac:dyDescent="0.25">
      <c r="A1245" s="2">
        <f t="shared" si="93"/>
        <v>2024</v>
      </c>
      <c r="B1245" s="2">
        <f t="shared" si="94"/>
        <v>3</v>
      </c>
      <c r="C1245" s="2" t="str">
        <f t="shared" si="95"/>
        <v>일</v>
      </c>
      <c r="D1245" s="3">
        <v>45354</v>
      </c>
      <c r="E1245" s="7">
        <v>241</v>
      </c>
      <c r="F1245" s="2" t="s">
        <v>15</v>
      </c>
      <c r="G1245" s="1">
        <v>30</v>
      </c>
      <c r="H1245" s="6">
        <f t="shared" si="97"/>
        <v>211</v>
      </c>
      <c r="I1245" s="1">
        <f>+COUNTIF(F$3:$F1245,F1245)</f>
        <v>9</v>
      </c>
      <c r="K1245" s="132" t="str">
        <f t="shared" si="96"/>
        <v>주말</v>
      </c>
    </row>
    <row r="1246" spans="1:11" ht="21.75" customHeight="1" x14ac:dyDescent="0.25">
      <c r="A1246" s="2">
        <f t="shared" si="93"/>
        <v>2024</v>
      </c>
      <c r="B1246" s="2">
        <f t="shared" si="94"/>
        <v>3</v>
      </c>
      <c r="C1246" s="2" t="str">
        <f t="shared" si="95"/>
        <v>월</v>
      </c>
      <c r="D1246" s="3">
        <v>45355</v>
      </c>
      <c r="E1246" s="7">
        <v>0</v>
      </c>
      <c r="F1246" s="2" t="s">
        <v>15</v>
      </c>
      <c r="G1246" s="1">
        <v>0</v>
      </c>
      <c r="H1246" s="6">
        <f t="shared" si="97"/>
        <v>0</v>
      </c>
      <c r="I1246" s="1">
        <f>+COUNTIF(F$3:$F1246,F1246)</f>
        <v>10</v>
      </c>
      <c r="K1246" s="132" t="str">
        <f t="shared" si="96"/>
        <v>평일</v>
      </c>
    </row>
    <row r="1247" spans="1:11" ht="21.75" customHeight="1" x14ac:dyDescent="0.25">
      <c r="A1247" s="2">
        <f t="shared" si="93"/>
        <v>2024</v>
      </c>
      <c r="B1247" s="2">
        <f t="shared" si="94"/>
        <v>3</v>
      </c>
      <c r="C1247" s="2" t="str">
        <f t="shared" si="95"/>
        <v>화</v>
      </c>
      <c r="D1247" s="3">
        <v>45356</v>
      </c>
      <c r="E1247" s="7">
        <v>98</v>
      </c>
      <c r="F1247" s="2" t="s">
        <v>15</v>
      </c>
      <c r="G1247" s="1">
        <v>13</v>
      </c>
      <c r="H1247" s="6">
        <f t="shared" si="97"/>
        <v>85</v>
      </c>
      <c r="I1247" s="1">
        <f>+COUNTIF(F$3:$F1247,F1247)</f>
        <v>11</v>
      </c>
      <c r="K1247" s="132" t="str">
        <f t="shared" si="96"/>
        <v>평일</v>
      </c>
    </row>
    <row r="1248" spans="1:11" ht="21.75" customHeight="1" x14ac:dyDescent="0.25">
      <c r="A1248" s="2">
        <f t="shared" si="93"/>
        <v>2024</v>
      </c>
      <c r="B1248" s="2">
        <f t="shared" si="94"/>
        <v>3</v>
      </c>
      <c r="C1248" s="2" t="str">
        <f t="shared" si="95"/>
        <v>수</v>
      </c>
      <c r="D1248" s="3">
        <v>45357</v>
      </c>
      <c r="E1248" s="7">
        <v>106</v>
      </c>
      <c r="F1248" s="2" t="s">
        <v>15</v>
      </c>
      <c r="G1248" s="1">
        <v>25</v>
      </c>
      <c r="H1248" s="6">
        <f t="shared" si="97"/>
        <v>81</v>
      </c>
      <c r="I1248" s="1">
        <f>+COUNTIF(F$3:$F1248,F1248)</f>
        <v>12</v>
      </c>
      <c r="K1248" s="132" t="str">
        <f t="shared" si="96"/>
        <v>평일</v>
      </c>
    </row>
    <row r="1249" spans="1:11" ht="21.75" customHeight="1" x14ac:dyDescent="0.25">
      <c r="A1249" s="2">
        <f t="shared" si="93"/>
        <v>2024</v>
      </c>
      <c r="B1249" s="2">
        <f t="shared" si="94"/>
        <v>3</v>
      </c>
      <c r="C1249" s="2" t="str">
        <f t="shared" si="95"/>
        <v>목</v>
      </c>
      <c r="D1249" s="3">
        <v>45358</v>
      </c>
      <c r="E1249" s="21">
        <v>109</v>
      </c>
      <c r="F1249" s="2" t="s">
        <v>15</v>
      </c>
      <c r="G1249" s="1">
        <v>22</v>
      </c>
      <c r="H1249" s="6">
        <f t="shared" si="97"/>
        <v>87</v>
      </c>
      <c r="I1249" s="1">
        <f>+COUNTIF(F$3:$F1249,F1249)</f>
        <v>13</v>
      </c>
      <c r="K1249" s="132" t="str">
        <f t="shared" si="96"/>
        <v>평일</v>
      </c>
    </row>
    <row r="1250" spans="1:11" ht="21.75" customHeight="1" x14ac:dyDescent="0.25">
      <c r="A1250" s="2">
        <f t="shared" si="93"/>
        <v>2024</v>
      </c>
      <c r="B1250" s="2">
        <f t="shared" si="94"/>
        <v>3</v>
      </c>
      <c r="C1250" s="2" t="str">
        <f t="shared" si="95"/>
        <v>금</v>
      </c>
      <c r="D1250" s="3">
        <v>45359</v>
      </c>
      <c r="E1250" s="21">
        <v>102</v>
      </c>
      <c r="F1250" s="2" t="s">
        <v>15</v>
      </c>
      <c r="G1250" s="1">
        <v>25</v>
      </c>
      <c r="H1250" s="6">
        <f t="shared" si="97"/>
        <v>77</v>
      </c>
      <c r="I1250" s="1">
        <f>+COUNTIF(F$3:$F1250,F1250)</f>
        <v>14</v>
      </c>
      <c r="K1250" s="132" t="str">
        <f t="shared" si="96"/>
        <v>평일</v>
      </c>
    </row>
    <row r="1251" spans="1:11" ht="21.75" customHeight="1" x14ac:dyDescent="0.25">
      <c r="A1251" s="2">
        <f t="shared" si="93"/>
        <v>2024</v>
      </c>
      <c r="B1251" s="2">
        <f t="shared" si="94"/>
        <v>3</v>
      </c>
      <c r="C1251" s="2" t="str">
        <f t="shared" si="95"/>
        <v>토</v>
      </c>
      <c r="D1251" s="3">
        <v>45360</v>
      </c>
      <c r="E1251" s="21">
        <v>413</v>
      </c>
      <c r="F1251" s="2" t="s">
        <v>15</v>
      </c>
      <c r="G1251" s="1">
        <v>48</v>
      </c>
      <c r="H1251" s="6">
        <f t="shared" si="97"/>
        <v>365</v>
      </c>
      <c r="I1251" s="1">
        <f>+COUNTIF(F$3:$F1251,F1251)</f>
        <v>15</v>
      </c>
      <c r="K1251" s="132" t="str">
        <f t="shared" si="96"/>
        <v>주말</v>
      </c>
    </row>
    <row r="1252" spans="1:11" ht="21.75" customHeight="1" x14ac:dyDescent="0.25">
      <c r="A1252" s="2">
        <f t="shared" si="93"/>
        <v>2024</v>
      </c>
      <c r="B1252" s="2">
        <f t="shared" si="94"/>
        <v>3</v>
      </c>
      <c r="C1252" s="2" t="str">
        <f t="shared" si="95"/>
        <v>일</v>
      </c>
      <c r="D1252" s="3">
        <v>45361</v>
      </c>
      <c r="E1252" s="21">
        <v>282</v>
      </c>
      <c r="F1252" s="2" t="s">
        <v>15</v>
      </c>
      <c r="G1252" s="1">
        <v>51</v>
      </c>
      <c r="H1252" s="6">
        <f t="shared" si="97"/>
        <v>231</v>
      </c>
      <c r="I1252" s="1">
        <f>+COUNTIF(F$3:$F1252,F1252)</f>
        <v>16</v>
      </c>
      <c r="K1252" s="132" t="str">
        <f t="shared" si="96"/>
        <v>주말</v>
      </c>
    </row>
    <row r="1253" spans="1:11" ht="21.75" customHeight="1" x14ac:dyDescent="0.25">
      <c r="A1253" s="2">
        <f t="shared" si="93"/>
        <v>2024</v>
      </c>
      <c r="B1253" s="2">
        <f t="shared" si="94"/>
        <v>3</v>
      </c>
      <c r="C1253" s="2" t="str">
        <f t="shared" si="95"/>
        <v>월</v>
      </c>
      <c r="D1253" s="3">
        <v>45362</v>
      </c>
      <c r="E1253" s="21">
        <v>114</v>
      </c>
      <c r="F1253" s="2" t="s">
        <v>15</v>
      </c>
      <c r="G1253" s="1">
        <v>14</v>
      </c>
      <c r="H1253" s="6">
        <f t="shared" si="97"/>
        <v>100</v>
      </c>
      <c r="I1253" s="1">
        <f>+COUNTIF(F$3:$F1253,F1253)</f>
        <v>17</v>
      </c>
      <c r="K1253" s="132" t="str">
        <f t="shared" si="96"/>
        <v>평일</v>
      </c>
    </row>
    <row r="1254" spans="1:11" ht="21.75" customHeight="1" x14ac:dyDescent="0.25">
      <c r="A1254" s="2">
        <f t="shared" si="93"/>
        <v>2024</v>
      </c>
      <c r="B1254" s="2">
        <f t="shared" si="94"/>
        <v>3</v>
      </c>
      <c r="C1254" s="2" t="str">
        <f t="shared" si="95"/>
        <v>화</v>
      </c>
      <c r="D1254" s="3">
        <v>45363</v>
      </c>
      <c r="E1254" s="21">
        <v>109</v>
      </c>
      <c r="F1254" s="2" t="s">
        <v>15</v>
      </c>
      <c r="G1254" s="1">
        <v>20</v>
      </c>
      <c r="H1254" s="6">
        <f t="shared" si="97"/>
        <v>89</v>
      </c>
      <c r="I1254" s="1">
        <f>+COUNTIF(F$3:$F1254,F1254)</f>
        <v>18</v>
      </c>
      <c r="K1254" s="132" t="str">
        <f t="shared" si="96"/>
        <v>평일</v>
      </c>
    </row>
    <row r="1255" spans="1:11" ht="21.75" customHeight="1" x14ac:dyDescent="0.25">
      <c r="A1255" s="2">
        <f t="shared" si="93"/>
        <v>2024</v>
      </c>
      <c r="B1255" s="2">
        <f t="shared" si="94"/>
        <v>3</v>
      </c>
      <c r="C1255" s="2" t="str">
        <f t="shared" si="95"/>
        <v>수</v>
      </c>
      <c r="D1255" s="3">
        <v>45364</v>
      </c>
      <c r="E1255" s="21">
        <v>125</v>
      </c>
      <c r="F1255" s="2" t="s">
        <v>15</v>
      </c>
      <c r="G1255" s="1">
        <v>14</v>
      </c>
      <c r="H1255" s="6">
        <f t="shared" si="97"/>
        <v>111</v>
      </c>
      <c r="I1255" s="1">
        <f>+COUNTIF(F$3:$F1255,F1255)</f>
        <v>19</v>
      </c>
      <c r="K1255" s="132" t="str">
        <f t="shared" si="96"/>
        <v>평일</v>
      </c>
    </row>
    <row r="1256" spans="1:11" ht="21.75" customHeight="1" x14ac:dyDescent="0.25">
      <c r="A1256" s="2">
        <f t="shared" si="93"/>
        <v>2024</v>
      </c>
      <c r="B1256" s="2">
        <f t="shared" si="94"/>
        <v>3</v>
      </c>
      <c r="C1256" s="2" t="str">
        <f t="shared" si="95"/>
        <v>목</v>
      </c>
      <c r="D1256" s="3">
        <v>45365</v>
      </c>
      <c r="E1256" s="21">
        <v>86</v>
      </c>
      <c r="F1256" s="2" t="s">
        <v>15</v>
      </c>
      <c r="G1256" s="1">
        <v>16</v>
      </c>
      <c r="H1256" s="6">
        <f t="shared" si="97"/>
        <v>70</v>
      </c>
      <c r="I1256" s="1">
        <f>+COUNTIF(F$3:$F1256,F1256)</f>
        <v>20</v>
      </c>
      <c r="K1256" s="132" t="str">
        <f t="shared" si="96"/>
        <v>평일</v>
      </c>
    </row>
    <row r="1257" spans="1:11" ht="21.75" customHeight="1" x14ac:dyDescent="0.25">
      <c r="A1257" s="2">
        <f t="shared" si="93"/>
        <v>2024</v>
      </c>
      <c r="B1257" s="2">
        <f t="shared" si="94"/>
        <v>3</v>
      </c>
      <c r="C1257" s="2" t="str">
        <f t="shared" si="95"/>
        <v>금</v>
      </c>
      <c r="D1257" s="3">
        <v>45366</v>
      </c>
      <c r="E1257" s="7">
        <v>154</v>
      </c>
      <c r="F1257" s="2" t="s">
        <v>15</v>
      </c>
      <c r="G1257" s="1">
        <v>32</v>
      </c>
      <c r="H1257" s="6">
        <f t="shared" si="97"/>
        <v>122</v>
      </c>
      <c r="I1257" s="1">
        <f>+COUNTIF(F$3:$F1257,F1257)</f>
        <v>21</v>
      </c>
      <c r="K1257" s="132" t="str">
        <f t="shared" si="96"/>
        <v>평일</v>
      </c>
    </row>
    <row r="1258" spans="1:11" ht="21.75" customHeight="1" x14ac:dyDescent="0.25">
      <c r="A1258" s="2">
        <f t="shared" si="93"/>
        <v>2024</v>
      </c>
      <c r="B1258" s="2">
        <f t="shared" si="94"/>
        <v>3</v>
      </c>
      <c r="C1258" s="2" t="str">
        <f t="shared" si="95"/>
        <v>토</v>
      </c>
      <c r="D1258" s="3">
        <v>45367</v>
      </c>
      <c r="E1258" s="7">
        <v>358</v>
      </c>
      <c r="F1258" s="2" t="s">
        <v>15</v>
      </c>
      <c r="G1258" s="1">
        <v>68</v>
      </c>
      <c r="H1258" s="1">
        <f t="shared" si="97"/>
        <v>290</v>
      </c>
      <c r="I1258" s="1">
        <f>+COUNTIF(F$3:$F1258,F1258)</f>
        <v>22</v>
      </c>
      <c r="K1258" s="132" t="str">
        <f t="shared" si="96"/>
        <v>주말</v>
      </c>
    </row>
    <row r="1259" spans="1:11" ht="21.75" customHeight="1" x14ac:dyDescent="0.25">
      <c r="A1259" s="2">
        <f t="shared" si="93"/>
        <v>2024</v>
      </c>
      <c r="B1259" s="2">
        <f t="shared" si="94"/>
        <v>3</v>
      </c>
      <c r="C1259" s="2" t="str">
        <f t="shared" si="95"/>
        <v>일</v>
      </c>
      <c r="D1259" s="3">
        <v>45368</v>
      </c>
      <c r="E1259" s="7">
        <v>298</v>
      </c>
      <c r="F1259" s="2" t="s">
        <v>15</v>
      </c>
      <c r="G1259" s="1">
        <v>64</v>
      </c>
      <c r="H1259" s="1">
        <f t="shared" si="97"/>
        <v>234</v>
      </c>
      <c r="I1259" s="1">
        <f>+COUNTIF(F$3:$F1259,F1259)</f>
        <v>23</v>
      </c>
      <c r="K1259" s="132" t="str">
        <f t="shared" si="96"/>
        <v>주말</v>
      </c>
    </row>
    <row r="1260" spans="1:11" ht="21.75" customHeight="1" x14ac:dyDescent="0.25">
      <c r="A1260" s="2">
        <f t="shared" si="93"/>
        <v>2024</v>
      </c>
      <c r="B1260" s="2">
        <f t="shared" si="94"/>
        <v>3</v>
      </c>
      <c r="C1260" s="2" t="str">
        <f t="shared" si="95"/>
        <v>월</v>
      </c>
      <c r="D1260" s="3">
        <v>45369</v>
      </c>
      <c r="E1260" s="7">
        <v>101</v>
      </c>
      <c r="F1260" s="2" t="s">
        <v>15</v>
      </c>
      <c r="G1260" s="1">
        <v>36</v>
      </c>
      <c r="H1260" s="1">
        <f t="shared" si="97"/>
        <v>65</v>
      </c>
      <c r="I1260" s="1">
        <f>+COUNTIF(F$3:$F1260,F1260)</f>
        <v>24</v>
      </c>
      <c r="K1260" s="132" t="str">
        <f t="shared" si="96"/>
        <v>평일</v>
      </c>
    </row>
    <row r="1261" spans="1:11" ht="21.75" customHeight="1" x14ac:dyDescent="0.25">
      <c r="A1261" s="2">
        <f t="shared" si="93"/>
        <v>2024</v>
      </c>
      <c r="B1261" s="2">
        <f t="shared" si="94"/>
        <v>3</v>
      </c>
      <c r="C1261" s="2" t="str">
        <f t="shared" si="95"/>
        <v>화</v>
      </c>
      <c r="D1261" s="3">
        <v>45370</v>
      </c>
      <c r="E1261" s="7">
        <v>116</v>
      </c>
      <c r="F1261" s="2" t="s">
        <v>15</v>
      </c>
      <c r="G1261" s="1">
        <v>33</v>
      </c>
      <c r="H1261" s="1">
        <f t="shared" si="97"/>
        <v>83</v>
      </c>
      <c r="I1261" s="1">
        <f>+COUNTIF(F$3:$F1261,F1261)</f>
        <v>25</v>
      </c>
      <c r="K1261" s="132" t="str">
        <f t="shared" si="96"/>
        <v>평일</v>
      </c>
    </row>
    <row r="1262" spans="1:11" ht="21.75" customHeight="1" x14ac:dyDescent="0.25">
      <c r="A1262" s="2">
        <f t="shared" si="93"/>
        <v>2024</v>
      </c>
      <c r="B1262" s="2">
        <f t="shared" si="94"/>
        <v>3</v>
      </c>
      <c r="C1262" s="2" t="str">
        <f t="shared" si="95"/>
        <v>수</v>
      </c>
      <c r="D1262" s="3">
        <v>45371</v>
      </c>
      <c r="E1262" s="7">
        <v>176</v>
      </c>
      <c r="F1262" s="2" t="s">
        <v>15</v>
      </c>
      <c r="G1262" s="1">
        <v>48</v>
      </c>
      <c r="H1262" s="1">
        <f t="shared" si="97"/>
        <v>128</v>
      </c>
      <c r="I1262" s="1">
        <f>+COUNTIF(F$3:$F1262,F1262)</f>
        <v>26</v>
      </c>
      <c r="K1262" s="132" t="str">
        <f t="shared" si="96"/>
        <v>평일</v>
      </c>
    </row>
    <row r="1263" spans="1:11" ht="21.75" customHeight="1" x14ac:dyDescent="0.25">
      <c r="A1263" s="2">
        <f t="shared" si="93"/>
        <v>2024</v>
      </c>
      <c r="B1263" s="2">
        <f t="shared" si="94"/>
        <v>3</v>
      </c>
      <c r="C1263" s="2" t="str">
        <f t="shared" si="95"/>
        <v>목</v>
      </c>
      <c r="D1263" s="3">
        <v>45372</v>
      </c>
      <c r="E1263" s="7">
        <v>126</v>
      </c>
      <c r="F1263" s="2" t="s">
        <v>15</v>
      </c>
      <c r="G1263" s="1">
        <v>22</v>
      </c>
      <c r="H1263" s="1">
        <f t="shared" si="97"/>
        <v>104</v>
      </c>
      <c r="I1263" s="1">
        <f>+COUNTIF(F$3:$F1263,F1263)</f>
        <v>27</v>
      </c>
      <c r="K1263" s="132" t="str">
        <f t="shared" si="96"/>
        <v>평일</v>
      </c>
    </row>
    <row r="1264" spans="1:11" ht="21.75" customHeight="1" x14ac:dyDescent="0.25">
      <c r="A1264" s="2">
        <f t="shared" si="93"/>
        <v>2024</v>
      </c>
      <c r="B1264" s="2">
        <f t="shared" si="94"/>
        <v>3</v>
      </c>
      <c r="C1264" s="2" t="str">
        <f t="shared" si="95"/>
        <v>금</v>
      </c>
      <c r="D1264" s="3">
        <v>45373</v>
      </c>
      <c r="E1264" s="7">
        <v>130</v>
      </c>
      <c r="F1264" s="2" t="s">
        <v>15</v>
      </c>
      <c r="G1264" s="1">
        <v>17</v>
      </c>
      <c r="H1264" s="1">
        <f t="shared" si="97"/>
        <v>113</v>
      </c>
      <c r="I1264" s="1">
        <f>+COUNTIF(F$3:$F1264,F1264)</f>
        <v>28</v>
      </c>
      <c r="K1264" s="132" t="str">
        <f t="shared" si="96"/>
        <v>평일</v>
      </c>
    </row>
    <row r="1265" spans="1:11" ht="21.75" customHeight="1" x14ac:dyDescent="0.25">
      <c r="A1265" s="2">
        <f t="shared" si="93"/>
        <v>2024</v>
      </c>
      <c r="B1265" s="2">
        <f t="shared" si="94"/>
        <v>3</v>
      </c>
      <c r="C1265" s="2" t="str">
        <f t="shared" si="95"/>
        <v>토</v>
      </c>
      <c r="D1265" s="3">
        <v>45374</v>
      </c>
      <c r="E1265" s="7">
        <v>347</v>
      </c>
      <c r="F1265" s="2" t="s">
        <v>15</v>
      </c>
      <c r="G1265" s="1">
        <v>71</v>
      </c>
      <c r="H1265" s="1">
        <f t="shared" si="97"/>
        <v>276</v>
      </c>
      <c r="I1265" s="1">
        <f>+COUNTIF(F$3:$F1265,F1265)</f>
        <v>29</v>
      </c>
      <c r="K1265" s="132" t="str">
        <f t="shared" si="96"/>
        <v>주말</v>
      </c>
    </row>
    <row r="1266" spans="1:11" ht="21.75" customHeight="1" x14ac:dyDescent="0.25">
      <c r="A1266" s="2">
        <f t="shared" si="93"/>
        <v>2024</v>
      </c>
      <c r="B1266" s="2">
        <f t="shared" si="94"/>
        <v>3</v>
      </c>
      <c r="C1266" s="2" t="str">
        <f t="shared" si="95"/>
        <v>일</v>
      </c>
      <c r="D1266" s="3">
        <v>45375</v>
      </c>
      <c r="E1266" s="7">
        <v>258</v>
      </c>
      <c r="F1266" s="2" t="s">
        <v>15</v>
      </c>
      <c r="G1266" s="1">
        <v>40</v>
      </c>
      <c r="H1266" s="1">
        <f t="shared" si="97"/>
        <v>218</v>
      </c>
      <c r="I1266" s="1">
        <f>+COUNTIF(F$3:$F1266,F1266)</f>
        <v>30</v>
      </c>
      <c r="K1266" s="132" t="str">
        <f t="shared" si="96"/>
        <v>주말</v>
      </c>
    </row>
    <row r="1267" spans="1:11" ht="21.75" customHeight="1" x14ac:dyDescent="0.25">
      <c r="A1267" s="2">
        <f t="shared" si="93"/>
        <v>2024</v>
      </c>
      <c r="B1267" s="2">
        <f t="shared" si="94"/>
        <v>3</v>
      </c>
      <c r="C1267" s="2" t="str">
        <f t="shared" si="95"/>
        <v>월</v>
      </c>
      <c r="D1267" s="3">
        <v>45376</v>
      </c>
      <c r="E1267" s="7">
        <v>105</v>
      </c>
      <c r="F1267" s="2" t="s">
        <v>15</v>
      </c>
      <c r="G1267" s="1">
        <v>11</v>
      </c>
      <c r="H1267" s="1">
        <f t="shared" si="97"/>
        <v>94</v>
      </c>
      <c r="I1267" s="1">
        <f>+COUNTIF(F$3:$F1267,F1267)</f>
        <v>31</v>
      </c>
      <c r="K1267" s="132" t="str">
        <f t="shared" si="96"/>
        <v>평일</v>
      </c>
    </row>
    <row r="1268" spans="1:11" ht="21.75" customHeight="1" x14ac:dyDescent="0.25">
      <c r="A1268" s="2">
        <f t="shared" si="93"/>
        <v>2024</v>
      </c>
      <c r="B1268" s="2">
        <f t="shared" si="94"/>
        <v>3</v>
      </c>
      <c r="C1268" s="2" t="str">
        <f t="shared" si="95"/>
        <v>화</v>
      </c>
      <c r="D1268" s="3">
        <v>45377</v>
      </c>
      <c r="E1268" s="7">
        <v>90</v>
      </c>
      <c r="F1268" s="2" t="s">
        <v>15</v>
      </c>
      <c r="G1268" s="1">
        <v>15</v>
      </c>
      <c r="H1268" s="1">
        <f t="shared" si="97"/>
        <v>75</v>
      </c>
      <c r="I1268" s="1">
        <f>+COUNTIF(F$3:$F1268,F1268)</f>
        <v>32</v>
      </c>
      <c r="K1268" s="132" t="str">
        <f t="shared" si="96"/>
        <v>평일</v>
      </c>
    </row>
    <row r="1269" spans="1:11" ht="21.75" customHeight="1" x14ac:dyDescent="0.25">
      <c r="A1269" s="2">
        <f t="shared" si="93"/>
        <v>2024</v>
      </c>
      <c r="B1269" s="2">
        <f t="shared" si="94"/>
        <v>3</v>
      </c>
      <c r="C1269" s="2" t="str">
        <f t="shared" si="95"/>
        <v>수</v>
      </c>
      <c r="D1269" s="3">
        <v>45378</v>
      </c>
      <c r="E1269" s="7">
        <v>150</v>
      </c>
      <c r="F1269" s="2" t="s">
        <v>15</v>
      </c>
      <c r="G1269" s="1">
        <v>18</v>
      </c>
      <c r="H1269" s="1">
        <f t="shared" si="97"/>
        <v>132</v>
      </c>
      <c r="I1269" s="1">
        <f>+COUNTIF(F$3:$F1269,F1269)</f>
        <v>33</v>
      </c>
      <c r="K1269" s="132" t="str">
        <f t="shared" si="96"/>
        <v>평일</v>
      </c>
    </row>
    <row r="1270" spans="1:11" ht="21.75" customHeight="1" x14ac:dyDescent="0.25">
      <c r="A1270" s="2">
        <f t="shared" si="93"/>
        <v>2024</v>
      </c>
      <c r="B1270" s="2">
        <f t="shared" si="94"/>
        <v>3</v>
      </c>
      <c r="C1270" s="2" t="str">
        <f t="shared" si="95"/>
        <v>목</v>
      </c>
      <c r="D1270" s="3">
        <v>45379</v>
      </c>
      <c r="E1270" s="7">
        <v>160</v>
      </c>
      <c r="F1270" s="2" t="s">
        <v>15</v>
      </c>
      <c r="G1270" s="1">
        <v>15</v>
      </c>
      <c r="H1270" s="1">
        <f t="shared" si="97"/>
        <v>145</v>
      </c>
      <c r="I1270" s="1">
        <f>+COUNTIF(F$3:$F1270,F1270)</f>
        <v>34</v>
      </c>
      <c r="K1270" s="132" t="str">
        <f t="shared" si="96"/>
        <v>평일</v>
      </c>
    </row>
    <row r="1271" spans="1:11" ht="21.75" customHeight="1" x14ac:dyDescent="0.25">
      <c r="A1271" s="2">
        <f t="shared" si="93"/>
        <v>2024</v>
      </c>
      <c r="B1271" s="2">
        <f t="shared" si="94"/>
        <v>3</v>
      </c>
      <c r="C1271" s="2" t="str">
        <f t="shared" si="95"/>
        <v>금</v>
      </c>
      <c r="D1271" s="3">
        <v>45380</v>
      </c>
      <c r="E1271" s="7">
        <v>117</v>
      </c>
      <c r="F1271" s="2" t="s">
        <v>15</v>
      </c>
      <c r="G1271" s="1">
        <v>13</v>
      </c>
      <c r="H1271" s="1">
        <f t="shared" si="97"/>
        <v>104</v>
      </c>
      <c r="I1271" s="1">
        <f>+COUNTIF(F$3:$F1271,F1271)</f>
        <v>35</v>
      </c>
      <c r="K1271" s="132" t="str">
        <f t="shared" si="96"/>
        <v>평일</v>
      </c>
    </row>
    <row r="1272" spans="1:11" ht="21.75" customHeight="1" x14ac:dyDescent="0.25">
      <c r="A1272" s="2">
        <f t="shared" si="93"/>
        <v>2024</v>
      </c>
      <c r="B1272" s="2">
        <f t="shared" si="94"/>
        <v>3</v>
      </c>
      <c r="C1272" s="2" t="str">
        <f t="shared" si="95"/>
        <v>토</v>
      </c>
      <c r="D1272" s="3">
        <v>45381</v>
      </c>
      <c r="E1272" s="7">
        <v>389</v>
      </c>
      <c r="F1272" s="2" t="s">
        <v>15</v>
      </c>
      <c r="G1272" s="1">
        <v>62</v>
      </c>
      <c r="H1272" s="1">
        <f t="shared" si="97"/>
        <v>327</v>
      </c>
      <c r="I1272" s="1">
        <f>+COUNTIF(F$3:$F1272,F1272)</f>
        <v>36</v>
      </c>
      <c r="K1272" s="132" t="str">
        <f t="shared" si="96"/>
        <v>주말</v>
      </c>
    </row>
    <row r="1273" spans="1:11" ht="21.75" customHeight="1" x14ac:dyDescent="0.25">
      <c r="A1273" s="2">
        <f t="shared" si="93"/>
        <v>2024</v>
      </c>
      <c r="B1273" s="2">
        <f t="shared" si="94"/>
        <v>3</v>
      </c>
      <c r="C1273" s="2" t="str">
        <f t="shared" si="95"/>
        <v>일</v>
      </c>
      <c r="D1273" s="3">
        <v>45382</v>
      </c>
      <c r="E1273" s="7">
        <v>251</v>
      </c>
      <c r="F1273" s="2" t="s">
        <v>15</v>
      </c>
      <c r="G1273" s="1">
        <v>48</v>
      </c>
      <c r="H1273" s="1">
        <f t="shared" si="97"/>
        <v>203</v>
      </c>
      <c r="I1273" s="1">
        <f>+COUNTIF(F$3:$F1273,F1273)</f>
        <v>37</v>
      </c>
      <c r="K1273" s="132" t="str">
        <f t="shared" si="96"/>
        <v>주말</v>
      </c>
    </row>
    <row r="1274" spans="1:11" ht="21.75" customHeight="1" x14ac:dyDescent="0.25">
      <c r="A1274" s="2">
        <f t="shared" si="93"/>
        <v>2024</v>
      </c>
      <c r="B1274" s="2">
        <f t="shared" si="94"/>
        <v>4</v>
      </c>
      <c r="C1274" s="2" t="str">
        <f t="shared" si="95"/>
        <v>월</v>
      </c>
      <c r="D1274" s="3">
        <v>45383</v>
      </c>
      <c r="E1274" s="7">
        <v>88</v>
      </c>
      <c r="F1274" s="2" t="s">
        <v>15</v>
      </c>
      <c r="G1274" s="1">
        <v>16</v>
      </c>
      <c r="H1274" s="1">
        <f t="shared" si="97"/>
        <v>72</v>
      </c>
      <c r="I1274" s="1">
        <f>+COUNTIF(F$3:$F1274,F1274)</f>
        <v>38</v>
      </c>
      <c r="K1274" s="132" t="str">
        <f t="shared" si="96"/>
        <v>평일</v>
      </c>
    </row>
    <row r="1275" spans="1:11" ht="21.75" customHeight="1" x14ac:dyDescent="0.25">
      <c r="A1275" s="2">
        <f t="shared" si="93"/>
        <v>2024</v>
      </c>
      <c r="B1275" s="2">
        <f t="shared" si="94"/>
        <v>4</v>
      </c>
      <c r="C1275" s="2" t="str">
        <f t="shared" si="95"/>
        <v>화</v>
      </c>
      <c r="D1275" s="3">
        <v>45384</v>
      </c>
      <c r="E1275" s="7">
        <v>103</v>
      </c>
      <c r="F1275" s="2" t="s">
        <v>15</v>
      </c>
      <c r="G1275" s="1">
        <v>19</v>
      </c>
      <c r="H1275" s="1">
        <f t="shared" si="97"/>
        <v>84</v>
      </c>
      <c r="I1275" s="1">
        <f>+COUNTIF(F$3:$F1275,F1275)</f>
        <v>39</v>
      </c>
      <c r="K1275" s="132" t="str">
        <f t="shared" si="96"/>
        <v>평일</v>
      </c>
    </row>
    <row r="1276" spans="1:11" ht="21.75" customHeight="1" x14ac:dyDescent="0.25">
      <c r="A1276" s="2">
        <f t="shared" si="93"/>
        <v>2024</v>
      </c>
      <c r="B1276" s="2">
        <f t="shared" si="94"/>
        <v>4</v>
      </c>
      <c r="C1276" s="2" t="str">
        <f t="shared" si="95"/>
        <v>수</v>
      </c>
      <c r="D1276" s="3">
        <v>45385</v>
      </c>
      <c r="E1276" s="7">
        <v>147</v>
      </c>
      <c r="F1276" s="2" t="s">
        <v>15</v>
      </c>
      <c r="G1276" s="1">
        <v>30</v>
      </c>
      <c r="H1276" s="1">
        <f t="shared" si="97"/>
        <v>117</v>
      </c>
      <c r="I1276" s="1">
        <f>+COUNTIF(F$3:$F1276,F1276)</f>
        <v>40</v>
      </c>
      <c r="K1276" s="132" t="str">
        <f t="shared" si="96"/>
        <v>평일</v>
      </c>
    </row>
    <row r="1277" spans="1:11" ht="21.75" customHeight="1" x14ac:dyDescent="0.25">
      <c r="A1277" s="2">
        <f t="shared" si="93"/>
        <v>2024</v>
      </c>
      <c r="B1277" s="2">
        <f t="shared" si="94"/>
        <v>4</v>
      </c>
      <c r="C1277" s="2" t="str">
        <f t="shared" si="95"/>
        <v>목</v>
      </c>
      <c r="D1277" s="3">
        <v>45386</v>
      </c>
      <c r="E1277" s="7">
        <v>116</v>
      </c>
      <c r="F1277" s="2" t="s">
        <v>15</v>
      </c>
      <c r="G1277" s="1">
        <v>20</v>
      </c>
      <c r="H1277" s="1">
        <f t="shared" si="97"/>
        <v>96</v>
      </c>
      <c r="I1277" s="1">
        <f>+COUNTIF(F$3:$F1277,F1277)</f>
        <v>41</v>
      </c>
      <c r="K1277" s="132" t="str">
        <f t="shared" si="96"/>
        <v>평일</v>
      </c>
    </row>
    <row r="1278" spans="1:11" ht="21.75" customHeight="1" x14ac:dyDescent="0.25">
      <c r="A1278" s="2">
        <f t="shared" si="93"/>
        <v>2024</v>
      </c>
      <c r="B1278" s="2">
        <f t="shared" si="94"/>
        <v>4</v>
      </c>
      <c r="C1278" s="2" t="str">
        <f t="shared" si="95"/>
        <v>금</v>
      </c>
      <c r="D1278" s="3">
        <v>45387</v>
      </c>
      <c r="E1278" s="7">
        <v>308</v>
      </c>
      <c r="F1278" s="2" t="s">
        <v>15</v>
      </c>
      <c r="G1278" s="1">
        <v>29</v>
      </c>
      <c r="H1278" s="1">
        <f t="shared" si="97"/>
        <v>279</v>
      </c>
      <c r="I1278" s="1">
        <f>+COUNTIF(F$3:$F1278,F1278)</f>
        <v>42</v>
      </c>
      <c r="K1278" s="132" t="str">
        <f t="shared" si="96"/>
        <v>평일</v>
      </c>
    </row>
    <row r="1279" spans="1:11" ht="21.75" customHeight="1" x14ac:dyDescent="0.25">
      <c r="A1279" s="2">
        <f t="shared" si="93"/>
        <v>2024</v>
      </c>
      <c r="B1279" s="2">
        <f t="shared" si="94"/>
        <v>4</v>
      </c>
      <c r="C1279" s="2" t="str">
        <f t="shared" si="95"/>
        <v>토</v>
      </c>
      <c r="D1279" s="3">
        <v>45388</v>
      </c>
      <c r="E1279" s="7">
        <v>343</v>
      </c>
      <c r="F1279" s="2" t="s">
        <v>15</v>
      </c>
      <c r="G1279" s="1">
        <v>77</v>
      </c>
      <c r="H1279" s="1">
        <f t="shared" si="97"/>
        <v>266</v>
      </c>
      <c r="I1279" s="1">
        <f>+COUNTIF(F$3:$F1279,F1279)</f>
        <v>43</v>
      </c>
      <c r="K1279" s="132" t="str">
        <f t="shared" si="96"/>
        <v>주말</v>
      </c>
    </row>
    <row r="1280" spans="1:11" ht="21.75" customHeight="1" x14ac:dyDescent="0.25">
      <c r="A1280" s="2">
        <f t="shared" si="93"/>
        <v>2024</v>
      </c>
      <c r="B1280" s="2">
        <f t="shared" si="94"/>
        <v>4</v>
      </c>
      <c r="C1280" s="2" t="str">
        <f t="shared" si="95"/>
        <v>일</v>
      </c>
      <c r="D1280" s="3">
        <v>45389</v>
      </c>
      <c r="E1280" s="7">
        <v>302</v>
      </c>
      <c r="F1280" s="2" t="s">
        <v>15</v>
      </c>
      <c r="G1280" s="1">
        <v>59</v>
      </c>
      <c r="H1280" s="1">
        <f t="shared" si="97"/>
        <v>243</v>
      </c>
      <c r="I1280" s="1">
        <f>+COUNTIF(F$3:$F1280,F1280)</f>
        <v>44</v>
      </c>
      <c r="K1280" s="132" t="str">
        <f t="shared" si="96"/>
        <v>주말</v>
      </c>
    </row>
    <row r="1281" spans="1:11" ht="21.75" customHeight="1" x14ac:dyDescent="0.25">
      <c r="A1281" s="2">
        <f t="shared" si="93"/>
        <v>2024</v>
      </c>
      <c r="B1281" s="2">
        <f t="shared" si="94"/>
        <v>4</v>
      </c>
      <c r="C1281" s="2" t="str">
        <f t="shared" si="95"/>
        <v>월</v>
      </c>
      <c r="D1281" s="3">
        <v>45390</v>
      </c>
      <c r="E1281" s="7">
        <v>143</v>
      </c>
      <c r="F1281" s="2" t="s">
        <v>15</v>
      </c>
      <c r="G1281" s="1">
        <v>28</v>
      </c>
      <c r="H1281" s="1">
        <f t="shared" si="97"/>
        <v>115</v>
      </c>
      <c r="I1281" s="1">
        <f>+COUNTIF(F$3:$F1281,F1281)</f>
        <v>45</v>
      </c>
      <c r="K1281" s="132" t="str">
        <f t="shared" si="96"/>
        <v>평일</v>
      </c>
    </row>
    <row r="1282" spans="1:11" ht="21.75" customHeight="1" x14ac:dyDescent="0.25">
      <c r="A1282" s="2">
        <f t="shared" si="93"/>
        <v>2024</v>
      </c>
      <c r="B1282" s="2">
        <f t="shared" si="94"/>
        <v>4</v>
      </c>
      <c r="C1282" s="2" t="str">
        <f t="shared" si="95"/>
        <v>화</v>
      </c>
      <c r="D1282" s="3">
        <v>45391</v>
      </c>
      <c r="E1282" s="7">
        <v>0</v>
      </c>
      <c r="F1282" s="2" t="s">
        <v>15</v>
      </c>
      <c r="I1282" s="1">
        <f>+COUNTIF(F$3:$F1282,F1282)</f>
        <v>46</v>
      </c>
      <c r="K1282" s="132" t="str">
        <f t="shared" si="96"/>
        <v>평일</v>
      </c>
    </row>
    <row r="1283" spans="1:11" ht="21.75" customHeight="1" x14ac:dyDescent="0.25">
      <c r="A1283" s="2">
        <f t="shared" si="93"/>
        <v>2024</v>
      </c>
      <c r="B1283" s="2">
        <f t="shared" si="94"/>
        <v>4</v>
      </c>
      <c r="C1283" s="2" t="str">
        <f t="shared" si="95"/>
        <v>수</v>
      </c>
      <c r="D1283" s="3">
        <v>45392</v>
      </c>
      <c r="E1283" s="7">
        <v>0</v>
      </c>
      <c r="F1283" s="2" t="s">
        <v>15</v>
      </c>
      <c r="I1283" s="1">
        <f>+COUNTIF(F$3:$F1283,F1283)</f>
        <v>47</v>
      </c>
      <c r="K1283" s="132" t="str">
        <f t="shared" si="96"/>
        <v>평일</v>
      </c>
    </row>
    <row r="1284" spans="1:11" ht="21.75" customHeight="1" x14ac:dyDescent="0.25">
      <c r="A1284" s="2">
        <f t="shared" ref="A1284:A1347" si="98">+YEAR(D1284)</f>
        <v>2024</v>
      </c>
      <c r="B1284" s="2">
        <f t="shared" ref="B1284:B1347" si="99">+MONTH(D1284)</f>
        <v>4</v>
      </c>
      <c r="C1284" s="2" t="str">
        <f t="shared" ref="C1284:C1347" si="100">+TEXT(D1284,"aaa")</f>
        <v>목</v>
      </c>
      <c r="D1284" s="3">
        <v>45393</v>
      </c>
      <c r="E1284" s="7">
        <v>0</v>
      </c>
      <c r="F1284" s="2" t="s">
        <v>15</v>
      </c>
      <c r="I1284" s="1">
        <f>+COUNTIF(F$3:$F1284,F1284)</f>
        <v>48</v>
      </c>
      <c r="K1284" s="132" t="str">
        <f t="shared" ref="K1284:K1347" si="101">+IF(OR(C1284="토",C1284="일"),"주말","평일")</f>
        <v>평일</v>
      </c>
    </row>
    <row r="1285" spans="1:11" ht="21.75" customHeight="1" x14ac:dyDescent="0.25">
      <c r="A1285" s="2">
        <f t="shared" si="98"/>
        <v>2024</v>
      </c>
      <c r="B1285" s="2">
        <f t="shared" si="99"/>
        <v>4</v>
      </c>
      <c r="C1285" s="2" t="str">
        <f t="shared" si="100"/>
        <v>금</v>
      </c>
      <c r="D1285" s="3">
        <v>45394</v>
      </c>
      <c r="E1285" s="7">
        <v>0</v>
      </c>
      <c r="F1285" s="2" t="s">
        <v>15</v>
      </c>
      <c r="I1285" s="1">
        <f>+COUNTIF(F$3:$F1285,F1285)</f>
        <v>49</v>
      </c>
      <c r="K1285" s="132" t="str">
        <f t="shared" si="101"/>
        <v>평일</v>
      </c>
    </row>
    <row r="1286" spans="1:11" ht="21.75" customHeight="1" x14ac:dyDescent="0.25">
      <c r="A1286" s="2">
        <f t="shared" si="98"/>
        <v>2024</v>
      </c>
      <c r="B1286" s="2">
        <f t="shared" si="99"/>
        <v>4</v>
      </c>
      <c r="C1286" s="2" t="str">
        <f t="shared" si="100"/>
        <v>토</v>
      </c>
      <c r="D1286" s="3">
        <v>45395</v>
      </c>
      <c r="E1286" s="7">
        <v>0</v>
      </c>
      <c r="F1286" s="2" t="s">
        <v>15</v>
      </c>
      <c r="I1286" s="1">
        <f>+COUNTIF(F$3:$F1286,F1286)</f>
        <v>50</v>
      </c>
      <c r="K1286" s="132" t="str">
        <f t="shared" si="101"/>
        <v>주말</v>
      </c>
    </row>
    <row r="1287" spans="1:11" ht="21.75" customHeight="1" x14ac:dyDescent="0.25">
      <c r="A1287" s="2">
        <f t="shared" si="98"/>
        <v>2024</v>
      </c>
      <c r="B1287" s="2">
        <f t="shared" si="99"/>
        <v>4</v>
      </c>
      <c r="C1287" s="2" t="str">
        <f t="shared" si="100"/>
        <v>일</v>
      </c>
      <c r="D1287" s="3">
        <v>45396</v>
      </c>
      <c r="E1287" s="7">
        <v>0</v>
      </c>
      <c r="F1287" s="2" t="s">
        <v>15</v>
      </c>
      <c r="I1287" s="1">
        <f>+COUNTIF(F$3:$F1287,F1287)</f>
        <v>51</v>
      </c>
      <c r="K1287" s="132" t="str">
        <f t="shared" si="101"/>
        <v>주말</v>
      </c>
    </row>
    <row r="1288" spans="1:11" ht="21.75" customHeight="1" x14ac:dyDescent="0.25">
      <c r="A1288" s="2">
        <f t="shared" si="98"/>
        <v>2024</v>
      </c>
      <c r="B1288" s="2">
        <f t="shared" si="99"/>
        <v>4</v>
      </c>
      <c r="C1288" s="2" t="str">
        <f t="shared" si="100"/>
        <v>월</v>
      </c>
      <c r="D1288" s="3">
        <v>45397</v>
      </c>
      <c r="E1288" s="7">
        <v>0</v>
      </c>
      <c r="F1288" s="2" t="s">
        <v>15</v>
      </c>
      <c r="I1288" s="1">
        <f>+COUNTIF(F$3:$F1288,F1288)</f>
        <v>52</v>
      </c>
      <c r="K1288" s="132" t="str">
        <f t="shared" si="101"/>
        <v>평일</v>
      </c>
    </row>
    <row r="1289" spans="1:11" ht="21.75" customHeight="1" x14ac:dyDescent="0.25">
      <c r="A1289" s="2">
        <f t="shared" si="98"/>
        <v>2024</v>
      </c>
      <c r="B1289" s="2">
        <f t="shared" si="99"/>
        <v>4</v>
      </c>
      <c r="C1289" s="2" t="str">
        <f t="shared" si="100"/>
        <v>화</v>
      </c>
      <c r="D1289" s="3">
        <v>45398</v>
      </c>
      <c r="E1289" s="7">
        <v>0</v>
      </c>
      <c r="F1289" s="2" t="s">
        <v>15</v>
      </c>
      <c r="I1289" s="1">
        <f>+COUNTIF(F$3:$F1289,F1289)</f>
        <v>53</v>
      </c>
      <c r="K1289" s="132" t="str">
        <f t="shared" si="101"/>
        <v>평일</v>
      </c>
    </row>
    <row r="1290" spans="1:11" ht="21.75" customHeight="1" x14ac:dyDescent="0.25">
      <c r="A1290" s="2">
        <f t="shared" si="98"/>
        <v>2024</v>
      </c>
      <c r="B1290" s="2">
        <f t="shared" si="99"/>
        <v>4</v>
      </c>
      <c r="C1290" s="2" t="str">
        <f t="shared" si="100"/>
        <v>수</v>
      </c>
      <c r="D1290" s="3">
        <v>45399</v>
      </c>
      <c r="E1290" s="7">
        <v>0</v>
      </c>
      <c r="F1290" s="2" t="s">
        <v>15</v>
      </c>
      <c r="I1290" s="1">
        <f>+COUNTIF(F$3:$F1290,F1290)</f>
        <v>54</v>
      </c>
      <c r="K1290" s="132" t="str">
        <f t="shared" si="101"/>
        <v>평일</v>
      </c>
    </row>
    <row r="1291" spans="1:11" ht="21.75" customHeight="1" x14ac:dyDescent="0.25">
      <c r="A1291" s="2">
        <f t="shared" si="98"/>
        <v>2024</v>
      </c>
      <c r="B1291" s="2">
        <f t="shared" si="99"/>
        <v>4</v>
      </c>
      <c r="C1291" s="2" t="str">
        <f t="shared" si="100"/>
        <v>목</v>
      </c>
      <c r="D1291" s="3">
        <v>45400</v>
      </c>
      <c r="E1291" s="7">
        <v>0</v>
      </c>
      <c r="F1291" s="2" t="s">
        <v>15</v>
      </c>
      <c r="I1291" s="1">
        <f>+COUNTIF(F$3:$F1291,F1291)</f>
        <v>55</v>
      </c>
      <c r="K1291" s="132" t="str">
        <f t="shared" si="101"/>
        <v>평일</v>
      </c>
    </row>
    <row r="1292" spans="1:11" ht="21.75" customHeight="1" x14ac:dyDescent="0.25">
      <c r="A1292" s="2">
        <f t="shared" si="98"/>
        <v>2024</v>
      </c>
      <c r="B1292" s="2">
        <f t="shared" si="99"/>
        <v>4</v>
      </c>
      <c r="C1292" s="2" t="str">
        <f t="shared" si="100"/>
        <v>금</v>
      </c>
      <c r="D1292" s="3">
        <v>45401</v>
      </c>
      <c r="E1292" s="7">
        <v>0</v>
      </c>
      <c r="F1292" s="2" t="s">
        <v>15</v>
      </c>
      <c r="I1292" s="1">
        <f>+COUNTIF(F$3:$F1292,F1292)</f>
        <v>56</v>
      </c>
      <c r="K1292" s="132" t="str">
        <f t="shared" si="101"/>
        <v>평일</v>
      </c>
    </row>
    <row r="1293" spans="1:11" ht="21.75" customHeight="1" x14ac:dyDescent="0.25">
      <c r="A1293" s="2">
        <f t="shared" si="98"/>
        <v>2024</v>
      </c>
      <c r="B1293" s="2">
        <f t="shared" si="99"/>
        <v>4</v>
      </c>
      <c r="C1293" s="2" t="str">
        <f t="shared" si="100"/>
        <v>토</v>
      </c>
      <c r="D1293" s="3">
        <v>45402</v>
      </c>
      <c r="E1293" s="7">
        <v>0</v>
      </c>
      <c r="F1293" s="2" t="s">
        <v>15</v>
      </c>
      <c r="I1293" s="1">
        <f>+COUNTIF(F$3:$F1293,F1293)</f>
        <v>57</v>
      </c>
      <c r="K1293" s="132" t="str">
        <f t="shared" si="101"/>
        <v>주말</v>
      </c>
    </row>
    <row r="1294" spans="1:11" ht="21.75" customHeight="1" x14ac:dyDescent="0.25">
      <c r="A1294" s="2">
        <f t="shared" si="98"/>
        <v>2024</v>
      </c>
      <c r="B1294" s="2">
        <f t="shared" si="99"/>
        <v>4</v>
      </c>
      <c r="C1294" s="2" t="str">
        <f t="shared" si="100"/>
        <v>일</v>
      </c>
      <c r="D1294" s="3">
        <v>45403</v>
      </c>
      <c r="E1294" s="7">
        <v>0</v>
      </c>
      <c r="F1294" s="2" t="s">
        <v>15</v>
      </c>
      <c r="I1294" s="1">
        <f>+COUNTIF(F$3:$F1294,F1294)</f>
        <v>58</v>
      </c>
      <c r="K1294" s="132" t="str">
        <f t="shared" si="101"/>
        <v>주말</v>
      </c>
    </row>
    <row r="1295" spans="1:11" ht="21.75" customHeight="1" x14ac:dyDescent="0.25">
      <c r="A1295" s="2">
        <f t="shared" si="98"/>
        <v>2024</v>
      </c>
      <c r="B1295" s="2">
        <f t="shared" si="99"/>
        <v>4</v>
      </c>
      <c r="C1295" s="2" t="str">
        <f t="shared" si="100"/>
        <v>월</v>
      </c>
      <c r="D1295" s="3">
        <v>45404</v>
      </c>
      <c r="E1295" s="7">
        <v>0</v>
      </c>
      <c r="F1295" s="2" t="s">
        <v>15</v>
      </c>
      <c r="I1295" s="1">
        <f>+COUNTIF(F$3:$F1295,F1295)</f>
        <v>59</v>
      </c>
      <c r="K1295" s="132" t="str">
        <f t="shared" si="101"/>
        <v>평일</v>
      </c>
    </row>
    <row r="1296" spans="1:11" ht="21.75" customHeight="1" x14ac:dyDescent="0.25">
      <c r="A1296" s="2">
        <f t="shared" si="98"/>
        <v>2024</v>
      </c>
      <c r="B1296" s="2">
        <f t="shared" si="99"/>
        <v>4</v>
      </c>
      <c r="C1296" s="2" t="str">
        <f t="shared" si="100"/>
        <v>화</v>
      </c>
      <c r="D1296" s="3">
        <v>45405</v>
      </c>
      <c r="E1296" s="7">
        <v>0</v>
      </c>
      <c r="F1296" s="2" t="s">
        <v>15</v>
      </c>
      <c r="I1296" s="1">
        <f>+COUNTIF(F$3:$F1296,F1296)</f>
        <v>60</v>
      </c>
      <c r="K1296" s="132" t="str">
        <f t="shared" si="101"/>
        <v>평일</v>
      </c>
    </row>
    <row r="1297" spans="1:11" ht="21.75" customHeight="1" x14ac:dyDescent="0.25">
      <c r="A1297" s="2">
        <f t="shared" si="98"/>
        <v>2024</v>
      </c>
      <c r="B1297" s="2">
        <f t="shared" si="99"/>
        <v>4</v>
      </c>
      <c r="C1297" s="2" t="str">
        <f t="shared" si="100"/>
        <v>수</v>
      </c>
      <c r="D1297" s="3">
        <v>45406</v>
      </c>
      <c r="E1297" s="7">
        <v>0</v>
      </c>
      <c r="F1297" s="2" t="s">
        <v>15</v>
      </c>
      <c r="I1297" s="1">
        <f>+COUNTIF(F$3:$F1297,F1297)</f>
        <v>61</v>
      </c>
      <c r="K1297" s="132" t="str">
        <f t="shared" si="101"/>
        <v>평일</v>
      </c>
    </row>
    <row r="1298" spans="1:11" ht="21.75" customHeight="1" x14ac:dyDescent="0.25">
      <c r="A1298" s="2">
        <f t="shared" si="98"/>
        <v>2024</v>
      </c>
      <c r="B1298" s="2">
        <f t="shared" si="99"/>
        <v>4</v>
      </c>
      <c r="C1298" s="2" t="str">
        <f t="shared" si="100"/>
        <v>목</v>
      </c>
      <c r="D1298" s="3">
        <v>45407</v>
      </c>
      <c r="E1298" s="7">
        <v>0</v>
      </c>
      <c r="F1298" s="2" t="s">
        <v>15</v>
      </c>
      <c r="I1298" s="1">
        <f>+COUNTIF(F$3:$F1298,F1298)</f>
        <v>62</v>
      </c>
      <c r="K1298" s="132" t="str">
        <f t="shared" si="101"/>
        <v>평일</v>
      </c>
    </row>
    <row r="1299" spans="1:11" ht="21.75" customHeight="1" x14ac:dyDescent="0.25">
      <c r="A1299" s="2">
        <f t="shared" si="98"/>
        <v>2024</v>
      </c>
      <c r="B1299" s="2">
        <f t="shared" si="99"/>
        <v>4</v>
      </c>
      <c r="C1299" s="2" t="str">
        <f t="shared" si="100"/>
        <v>금</v>
      </c>
      <c r="D1299" s="3">
        <v>45408</v>
      </c>
      <c r="E1299" s="7">
        <v>0</v>
      </c>
      <c r="F1299" s="2" t="s">
        <v>15</v>
      </c>
      <c r="I1299" s="1">
        <f>+COUNTIF(F$3:$F1299,F1299)</f>
        <v>63</v>
      </c>
      <c r="K1299" s="132" t="str">
        <f t="shared" si="101"/>
        <v>평일</v>
      </c>
    </row>
    <row r="1300" spans="1:11" ht="21.75" customHeight="1" x14ac:dyDescent="0.25">
      <c r="A1300" s="2">
        <f t="shared" si="98"/>
        <v>2024</v>
      </c>
      <c r="B1300" s="2">
        <f t="shared" si="99"/>
        <v>4</v>
      </c>
      <c r="C1300" s="2" t="str">
        <f t="shared" si="100"/>
        <v>토</v>
      </c>
      <c r="D1300" s="3">
        <v>45409</v>
      </c>
      <c r="E1300" s="7">
        <v>0</v>
      </c>
      <c r="F1300" s="2" t="s">
        <v>15</v>
      </c>
      <c r="I1300" s="1">
        <f>+COUNTIF(F$3:$F1300,F1300)</f>
        <v>64</v>
      </c>
      <c r="K1300" s="132" t="str">
        <f t="shared" si="101"/>
        <v>주말</v>
      </c>
    </row>
    <row r="1301" spans="1:11" ht="21.75" customHeight="1" x14ac:dyDescent="0.25">
      <c r="A1301" s="2">
        <f t="shared" si="98"/>
        <v>2024</v>
      </c>
      <c r="B1301" s="2">
        <f t="shared" si="99"/>
        <v>4</v>
      </c>
      <c r="C1301" s="2" t="str">
        <f t="shared" si="100"/>
        <v>일</v>
      </c>
      <c r="D1301" s="3">
        <v>45410</v>
      </c>
      <c r="E1301" s="7">
        <v>0</v>
      </c>
      <c r="F1301" s="2" t="s">
        <v>15</v>
      </c>
      <c r="I1301" s="1">
        <f>+COUNTIF(F$3:$F1301,F1301)</f>
        <v>65</v>
      </c>
      <c r="K1301" s="132" t="str">
        <f t="shared" si="101"/>
        <v>주말</v>
      </c>
    </row>
    <row r="1302" spans="1:11" ht="21.75" customHeight="1" x14ac:dyDescent="0.25">
      <c r="A1302" s="2">
        <f t="shared" si="98"/>
        <v>2024</v>
      </c>
      <c r="B1302" s="2">
        <f t="shared" si="99"/>
        <v>4</v>
      </c>
      <c r="C1302" s="2" t="str">
        <f t="shared" si="100"/>
        <v>월</v>
      </c>
      <c r="D1302" s="3">
        <v>45411</v>
      </c>
      <c r="E1302" s="7">
        <v>0</v>
      </c>
      <c r="F1302" s="2" t="s">
        <v>15</v>
      </c>
      <c r="I1302" s="1">
        <f>+COUNTIF(F$3:$F1302,F1302)</f>
        <v>66</v>
      </c>
      <c r="K1302" s="132" t="str">
        <f t="shared" si="101"/>
        <v>평일</v>
      </c>
    </row>
    <row r="1303" spans="1:11" ht="21.75" customHeight="1" x14ac:dyDescent="0.25">
      <c r="A1303" s="2">
        <f t="shared" si="98"/>
        <v>2024</v>
      </c>
      <c r="B1303" s="2">
        <f t="shared" si="99"/>
        <v>4</v>
      </c>
      <c r="C1303" s="2" t="str">
        <f t="shared" si="100"/>
        <v>화</v>
      </c>
      <c r="D1303" s="3">
        <v>45412</v>
      </c>
      <c r="E1303" s="7">
        <v>0</v>
      </c>
      <c r="F1303" s="2" t="s">
        <v>15</v>
      </c>
      <c r="I1303" s="1">
        <f>+COUNTIF(F$3:$F1303,F1303)</f>
        <v>67</v>
      </c>
      <c r="K1303" s="132" t="str">
        <f t="shared" si="101"/>
        <v>평일</v>
      </c>
    </row>
    <row r="1304" spans="1:11" ht="21.75" customHeight="1" x14ac:dyDescent="0.25">
      <c r="A1304" s="2">
        <f t="shared" si="98"/>
        <v>2024</v>
      </c>
      <c r="B1304" s="2">
        <f t="shared" si="99"/>
        <v>5</v>
      </c>
      <c r="C1304" s="2" t="str">
        <f t="shared" si="100"/>
        <v>수</v>
      </c>
      <c r="D1304" s="3">
        <v>45413</v>
      </c>
      <c r="E1304" s="7">
        <v>0</v>
      </c>
      <c r="F1304" s="2" t="s">
        <v>15</v>
      </c>
      <c r="I1304" s="1">
        <f>+COUNTIF(F$3:$F1304,F1304)</f>
        <v>68</v>
      </c>
      <c r="K1304" s="132" t="str">
        <f t="shared" si="101"/>
        <v>평일</v>
      </c>
    </row>
    <row r="1305" spans="1:11" ht="21.75" customHeight="1" x14ac:dyDescent="0.25">
      <c r="A1305" s="2">
        <f t="shared" si="98"/>
        <v>2024</v>
      </c>
      <c r="B1305" s="2">
        <f t="shared" si="99"/>
        <v>5</v>
      </c>
      <c r="C1305" s="2" t="str">
        <f t="shared" si="100"/>
        <v>목</v>
      </c>
      <c r="D1305" s="3">
        <v>45414</v>
      </c>
      <c r="E1305" s="7">
        <v>0</v>
      </c>
      <c r="F1305" s="2" t="s">
        <v>15</v>
      </c>
      <c r="I1305" s="1">
        <f>+COUNTIF(F$3:$F1305,F1305)</f>
        <v>69</v>
      </c>
      <c r="K1305" s="132" t="str">
        <f t="shared" si="101"/>
        <v>평일</v>
      </c>
    </row>
    <row r="1306" spans="1:11" ht="21.75" customHeight="1" x14ac:dyDescent="0.25">
      <c r="A1306" s="2">
        <f t="shared" si="98"/>
        <v>2024</v>
      </c>
      <c r="B1306" s="2">
        <f t="shared" si="99"/>
        <v>5</v>
      </c>
      <c r="C1306" s="2" t="str">
        <f t="shared" si="100"/>
        <v>금</v>
      </c>
      <c r="D1306" s="3">
        <v>45415</v>
      </c>
      <c r="E1306" s="7">
        <v>0</v>
      </c>
      <c r="F1306" s="2" t="s">
        <v>15</v>
      </c>
      <c r="I1306" s="1">
        <f>+COUNTIF(F$3:$F1306,F1306)</f>
        <v>70</v>
      </c>
      <c r="K1306" s="132" t="str">
        <f t="shared" si="101"/>
        <v>평일</v>
      </c>
    </row>
    <row r="1307" spans="1:11" ht="21.75" customHeight="1" x14ac:dyDescent="0.25">
      <c r="A1307" s="2">
        <f t="shared" si="98"/>
        <v>2024</v>
      </c>
      <c r="B1307" s="2">
        <f t="shared" si="99"/>
        <v>5</v>
      </c>
      <c r="C1307" s="2" t="str">
        <f t="shared" si="100"/>
        <v>토</v>
      </c>
      <c r="D1307" s="3">
        <v>45416</v>
      </c>
      <c r="E1307" s="7">
        <v>0</v>
      </c>
      <c r="F1307" s="2" t="s">
        <v>15</v>
      </c>
      <c r="I1307" s="1">
        <f>+COUNTIF(F$3:$F1307,F1307)</f>
        <v>71</v>
      </c>
      <c r="K1307" s="132" t="str">
        <f t="shared" si="101"/>
        <v>주말</v>
      </c>
    </row>
    <row r="1308" spans="1:11" ht="21.75" customHeight="1" x14ac:dyDescent="0.25">
      <c r="A1308" s="2">
        <f t="shared" si="98"/>
        <v>2024</v>
      </c>
      <c r="B1308" s="2">
        <f t="shared" si="99"/>
        <v>5</v>
      </c>
      <c r="C1308" s="2" t="str">
        <f t="shared" si="100"/>
        <v>일</v>
      </c>
      <c r="D1308" s="3">
        <v>45417</v>
      </c>
      <c r="E1308" s="7">
        <v>0</v>
      </c>
      <c r="F1308" s="2" t="s">
        <v>15</v>
      </c>
      <c r="I1308" s="1">
        <f>+COUNTIF(F$3:$F1308,F1308)</f>
        <v>72</v>
      </c>
      <c r="K1308" s="132" t="str">
        <f t="shared" si="101"/>
        <v>주말</v>
      </c>
    </row>
    <row r="1309" spans="1:11" ht="21.75" customHeight="1" x14ac:dyDescent="0.25">
      <c r="A1309" s="2">
        <f t="shared" si="98"/>
        <v>2024</v>
      </c>
      <c r="B1309" s="2">
        <f t="shared" si="99"/>
        <v>5</v>
      </c>
      <c r="C1309" s="2" t="str">
        <f t="shared" si="100"/>
        <v>월</v>
      </c>
      <c r="D1309" s="3">
        <v>45418</v>
      </c>
      <c r="E1309" s="7">
        <v>0</v>
      </c>
      <c r="F1309" s="2" t="s">
        <v>15</v>
      </c>
      <c r="I1309" s="1">
        <f>+COUNTIF(F$3:$F1309,F1309)</f>
        <v>73</v>
      </c>
      <c r="K1309" s="132" t="str">
        <f t="shared" si="101"/>
        <v>평일</v>
      </c>
    </row>
    <row r="1310" spans="1:11" ht="21.75" customHeight="1" x14ac:dyDescent="0.25">
      <c r="A1310" s="2">
        <f t="shared" si="98"/>
        <v>2024</v>
      </c>
      <c r="B1310" s="2">
        <f t="shared" si="99"/>
        <v>5</v>
      </c>
      <c r="C1310" s="2" t="str">
        <f t="shared" si="100"/>
        <v>화</v>
      </c>
      <c r="D1310" s="3">
        <v>45419</v>
      </c>
      <c r="E1310" s="7">
        <v>0</v>
      </c>
      <c r="F1310" s="2" t="s">
        <v>15</v>
      </c>
      <c r="I1310" s="1">
        <f>+COUNTIF(F$3:$F1310,F1310)</f>
        <v>74</v>
      </c>
      <c r="K1310" s="132" t="str">
        <f t="shared" si="101"/>
        <v>평일</v>
      </c>
    </row>
    <row r="1311" spans="1:11" ht="21.75" customHeight="1" x14ac:dyDescent="0.25">
      <c r="A1311" s="2">
        <f t="shared" si="98"/>
        <v>2024</v>
      </c>
      <c r="B1311" s="2">
        <f t="shared" si="99"/>
        <v>5</v>
      </c>
      <c r="C1311" s="2" t="str">
        <f t="shared" si="100"/>
        <v>수</v>
      </c>
      <c r="D1311" s="3">
        <v>45420</v>
      </c>
      <c r="E1311" s="7">
        <v>0</v>
      </c>
      <c r="F1311" s="2" t="s">
        <v>15</v>
      </c>
      <c r="I1311" s="1">
        <f>+COUNTIF(F$3:$F1311,F1311)</f>
        <v>75</v>
      </c>
      <c r="K1311" s="132" t="str">
        <f t="shared" si="101"/>
        <v>평일</v>
      </c>
    </row>
    <row r="1312" spans="1:11" ht="21.75" customHeight="1" x14ac:dyDescent="0.25">
      <c r="A1312" s="2">
        <f t="shared" si="98"/>
        <v>2024</v>
      </c>
      <c r="B1312" s="2">
        <f t="shared" si="99"/>
        <v>5</v>
      </c>
      <c r="C1312" s="2" t="str">
        <f t="shared" si="100"/>
        <v>목</v>
      </c>
      <c r="D1312" s="3">
        <v>45421</v>
      </c>
      <c r="E1312" s="7">
        <v>0</v>
      </c>
      <c r="F1312" s="2" t="s">
        <v>15</v>
      </c>
      <c r="I1312" s="1">
        <f>+COUNTIF(F$3:$F1312,F1312)</f>
        <v>76</v>
      </c>
      <c r="K1312" s="132" t="str">
        <f t="shared" si="101"/>
        <v>평일</v>
      </c>
    </row>
    <row r="1313" spans="1:11" ht="21.75" customHeight="1" x14ac:dyDescent="0.25">
      <c r="A1313" s="2">
        <f t="shared" si="98"/>
        <v>2024</v>
      </c>
      <c r="B1313" s="2">
        <f t="shared" si="99"/>
        <v>5</v>
      </c>
      <c r="C1313" s="2" t="str">
        <f t="shared" si="100"/>
        <v>금</v>
      </c>
      <c r="D1313" s="3">
        <v>45422</v>
      </c>
      <c r="E1313" s="7">
        <v>0</v>
      </c>
      <c r="F1313" s="2" t="s">
        <v>15</v>
      </c>
      <c r="I1313" s="1">
        <f>+COUNTIF(F$3:$F1313,F1313)</f>
        <v>77</v>
      </c>
      <c r="K1313" s="132" t="str">
        <f t="shared" si="101"/>
        <v>평일</v>
      </c>
    </row>
    <row r="1314" spans="1:11" ht="21.75" customHeight="1" x14ac:dyDescent="0.25">
      <c r="A1314" s="2">
        <f t="shared" si="98"/>
        <v>2024</v>
      </c>
      <c r="B1314" s="2">
        <f t="shared" si="99"/>
        <v>5</v>
      </c>
      <c r="C1314" s="2" t="str">
        <f t="shared" si="100"/>
        <v>토</v>
      </c>
      <c r="D1314" s="3">
        <v>45423</v>
      </c>
      <c r="E1314" s="7">
        <v>0</v>
      </c>
      <c r="F1314" s="2" t="s">
        <v>15</v>
      </c>
      <c r="I1314" s="1">
        <f>+COUNTIF(F$3:$F1314,F1314)</f>
        <v>78</v>
      </c>
      <c r="K1314" s="132" t="str">
        <f t="shared" si="101"/>
        <v>주말</v>
      </c>
    </row>
    <row r="1315" spans="1:11" ht="21.75" customHeight="1" x14ac:dyDescent="0.25">
      <c r="A1315" s="2">
        <f t="shared" si="98"/>
        <v>2024</v>
      </c>
      <c r="B1315" s="2">
        <f t="shared" si="99"/>
        <v>5</v>
      </c>
      <c r="C1315" s="2" t="str">
        <f t="shared" si="100"/>
        <v>일</v>
      </c>
      <c r="D1315" s="3">
        <v>45424</v>
      </c>
      <c r="E1315" s="7">
        <v>0</v>
      </c>
      <c r="F1315" s="2" t="s">
        <v>15</v>
      </c>
      <c r="I1315" s="1">
        <f>+COUNTIF(F$3:$F1315,F1315)</f>
        <v>79</v>
      </c>
      <c r="K1315" s="132" t="str">
        <f t="shared" si="101"/>
        <v>주말</v>
      </c>
    </row>
    <row r="1316" spans="1:11" ht="21.75" customHeight="1" x14ac:dyDescent="0.25">
      <c r="A1316" s="2">
        <f t="shared" si="98"/>
        <v>2024</v>
      </c>
      <c r="B1316" s="2">
        <f t="shared" si="99"/>
        <v>5</v>
      </c>
      <c r="C1316" s="2" t="str">
        <f t="shared" si="100"/>
        <v>월</v>
      </c>
      <c r="D1316" s="3">
        <v>45425</v>
      </c>
      <c r="E1316" s="7">
        <v>0</v>
      </c>
      <c r="F1316" s="2" t="s">
        <v>15</v>
      </c>
      <c r="I1316" s="1">
        <f>+COUNTIF(F$3:$F1316,F1316)</f>
        <v>80</v>
      </c>
      <c r="K1316" s="132" t="str">
        <f t="shared" si="101"/>
        <v>평일</v>
      </c>
    </row>
    <row r="1317" spans="1:11" ht="21.75" customHeight="1" x14ac:dyDescent="0.25">
      <c r="A1317" s="2">
        <f t="shared" si="98"/>
        <v>2024</v>
      </c>
      <c r="B1317" s="2">
        <f t="shared" si="99"/>
        <v>5</v>
      </c>
      <c r="C1317" s="2" t="str">
        <f t="shared" si="100"/>
        <v>화</v>
      </c>
      <c r="D1317" s="3">
        <v>45426</v>
      </c>
      <c r="E1317" s="7">
        <v>0</v>
      </c>
      <c r="F1317" s="2" t="s">
        <v>15</v>
      </c>
      <c r="I1317" s="1">
        <f>+COUNTIF(F$3:$F1317,F1317)</f>
        <v>81</v>
      </c>
      <c r="K1317" s="132" t="str">
        <f t="shared" si="101"/>
        <v>평일</v>
      </c>
    </row>
    <row r="1318" spans="1:11" ht="21.75" customHeight="1" x14ac:dyDescent="0.25">
      <c r="A1318" s="2">
        <f t="shared" si="98"/>
        <v>2024</v>
      </c>
      <c r="B1318" s="2">
        <f t="shared" si="99"/>
        <v>5</v>
      </c>
      <c r="C1318" s="2" t="str">
        <f t="shared" si="100"/>
        <v>수</v>
      </c>
      <c r="D1318" s="3">
        <v>45427</v>
      </c>
      <c r="E1318" s="7">
        <v>0</v>
      </c>
      <c r="F1318" s="2" t="s">
        <v>15</v>
      </c>
      <c r="I1318" s="1">
        <f>+COUNTIF(F$3:$F1318,F1318)</f>
        <v>82</v>
      </c>
      <c r="K1318" s="132" t="str">
        <f t="shared" si="101"/>
        <v>평일</v>
      </c>
    </row>
    <row r="1319" spans="1:11" ht="21.75" customHeight="1" x14ac:dyDescent="0.25">
      <c r="A1319" s="2">
        <f t="shared" si="98"/>
        <v>2024</v>
      </c>
      <c r="B1319" s="2">
        <f t="shared" si="99"/>
        <v>5</v>
      </c>
      <c r="C1319" s="2" t="str">
        <f t="shared" si="100"/>
        <v>목</v>
      </c>
      <c r="D1319" s="3">
        <v>45428</v>
      </c>
      <c r="E1319" s="7">
        <v>0</v>
      </c>
      <c r="F1319" s="2" t="s">
        <v>15</v>
      </c>
      <c r="I1319" s="1">
        <f>+COUNTIF(F$3:$F1319,F1319)</f>
        <v>83</v>
      </c>
      <c r="K1319" s="132" t="str">
        <f t="shared" si="101"/>
        <v>평일</v>
      </c>
    </row>
    <row r="1320" spans="1:11" ht="21.75" customHeight="1" x14ac:dyDescent="0.25">
      <c r="A1320" s="2">
        <f t="shared" si="98"/>
        <v>2024</v>
      </c>
      <c r="B1320" s="2">
        <f t="shared" si="99"/>
        <v>5</v>
      </c>
      <c r="C1320" s="2" t="str">
        <f t="shared" si="100"/>
        <v>금</v>
      </c>
      <c r="D1320" s="3">
        <v>45429</v>
      </c>
      <c r="E1320" s="7">
        <v>0</v>
      </c>
      <c r="F1320" s="2" t="s">
        <v>15</v>
      </c>
      <c r="I1320" s="1">
        <f>+COUNTIF(F$3:$F1320,F1320)</f>
        <v>84</v>
      </c>
      <c r="K1320" s="132" t="str">
        <f t="shared" si="101"/>
        <v>평일</v>
      </c>
    </row>
    <row r="1321" spans="1:11" ht="21.75" customHeight="1" x14ac:dyDescent="0.25">
      <c r="A1321" s="2">
        <f t="shared" si="98"/>
        <v>2024</v>
      </c>
      <c r="B1321" s="2">
        <f t="shared" si="99"/>
        <v>5</v>
      </c>
      <c r="C1321" s="2" t="str">
        <f t="shared" si="100"/>
        <v>토</v>
      </c>
      <c r="D1321" s="3">
        <v>45430</v>
      </c>
      <c r="E1321" s="7">
        <v>0</v>
      </c>
      <c r="F1321" s="2" t="s">
        <v>15</v>
      </c>
      <c r="I1321" s="1">
        <f>+COUNTIF(F$3:$F1321,F1321)</f>
        <v>85</v>
      </c>
      <c r="K1321" s="132" t="str">
        <f t="shared" si="101"/>
        <v>주말</v>
      </c>
    </row>
    <row r="1322" spans="1:11" ht="21.75" customHeight="1" x14ac:dyDescent="0.25">
      <c r="A1322" s="2">
        <f t="shared" si="98"/>
        <v>2024</v>
      </c>
      <c r="B1322" s="2">
        <f t="shared" si="99"/>
        <v>5</v>
      </c>
      <c r="C1322" s="2" t="str">
        <f t="shared" si="100"/>
        <v>일</v>
      </c>
      <c r="D1322" s="3">
        <v>45431</v>
      </c>
      <c r="E1322" s="7">
        <v>0</v>
      </c>
      <c r="F1322" s="2" t="s">
        <v>15</v>
      </c>
      <c r="I1322" s="1">
        <f>+COUNTIF(F$3:$F1322,F1322)</f>
        <v>86</v>
      </c>
      <c r="K1322" s="132" t="str">
        <f t="shared" si="101"/>
        <v>주말</v>
      </c>
    </row>
    <row r="1323" spans="1:11" ht="21.75" customHeight="1" x14ac:dyDescent="0.25">
      <c r="A1323" s="2">
        <f t="shared" si="98"/>
        <v>2024</v>
      </c>
      <c r="B1323" s="2">
        <f t="shared" si="99"/>
        <v>5</v>
      </c>
      <c r="C1323" s="2" t="str">
        <f t="shared" si="100"/>
        <v>월</v>
      </c>
      <c r="D1323" s="3">
        <v>45432</v>
      </c>
      <c r="E1323" s="7">
        <v>0</v>
      </c>
      <c r="F1323" s="2" t="s">
        <v>15</v>
      </c>
      <c r="I1323" s="1">
        <f>+COUNTIF(F$3:$F1323,F1323)</f>
        <v>87</v>
      </c>
      <c r="K1323" s="132" t="str">
        <f t="shared" si="101"/>
        <v>평일</v>
      </c>
    </row>
    <row r="1324" spans="1:11" ht="21.75" customHeight="1" x14ac:dyDescent="0.25">
      <c r="A1324" s="2">
        <f t="shared" si="98"/>
        <v>2024</v>
      </c>
      <c r="B1324" s="2">
        <f t="shared" si="99"/>
        <v>5</v>
      </c>
      <c r="C1324" s="2" t="str">
        <f t="shared" si="100"/>
        <v>화</v>
      </c>
      <c r="D1324" s="3">
        <v>45433</v>
      </c>
      <c r="E1324" s="7">
        <v>0</v>
      </c>
      <c r="F1324" s="2" t="s">
        <v>15</v>
      </c>
      <c r="I1324" s="1">
        <f>+COUNTIF(F$3:$F1324,F1324)</f>
        <v>88</v>
      </c>
      <c r="K1324" s="132" t="str">
        <f t="shared" si="101"/>
        <v>평일</v>
      </c>
    </row>
    <row r="1325" spans="1:11" ht="21.75" customHeight="1" x14ac:dyDescent="0.25">
      <c r="A1325" s="2">
        <f t="shared" si="98"/>
        <v>2024</v>
      </c>
      <c r="B1325" s="2">
        <f t="shared" si="99"/>
        <v>5</v>
      </c>
      <c r="C1325" s="2" t="str">
        <f t="shared" si="100"/>
        <v>수</v>
      </c>
      <c r="D1325" s="3">
        <v>45434</v>
      </c>
      <c r="E1325" s="7">
        <v>0</v>
      </c>
      <c r="F1325" s="2" t="s">
        <v>15</v>
      </c>
      <c r="I1325" s="1">
        <f>+COUNTIF(F$3:$F1325,F1325)</f>
        <v>89</v>
      </c>
      <c r="K1325" s="132" t="str">
        <f t="shared" si="101"/>
        <v>평일</v>
      </c>
    </row>
    <row r="1326" spans="1:11" ht="21.75" customHeight="1" x14ac:dyDescent="0.25">
      <c r="A1326" s="2">
        <f t="shared" si="98"/>
        <v>2024</v>
      </c>
      <c r="B1326" s="2">
        <f t="shared" si="99"/>
        <v>5</v>
      </c>
      <c r="C1326" s="2" t="str">
        <f t="shared" si="100"/>
        <v>목</v>
      </c>
      <c r="D1326" s="3">
        <v>45435</v>
      </c>
      <c r="E1326" s="7">
        <v>0</v>
      </c>
      <c r="F1326" s="2" t="s">
        <v>15</v>
      </c>
      <c r="I1326" s="1">
        <f>+COUNTIF(F$3:$F1326,F1326)</f>
        <v>90</v>
      </c>
      <c r="K1326" s="132" t="str">
        <f t="shared" si="101"/>
        <v>평일</v>
      </c>
    </row>
    <row r="1327" spans="1:11" ht="21.75" customHeight="1" x14ac:dyDescent="0.25">
      <c r="A1327" s="2">
        <f t="shared" si="98"/>
        <v>2024</v>
      </c>
      <c r="B1327" s="2">
        <f t="shared" si="99"/>
        <v>5</v>
      </c>
      <c r="C1327" s="2" t="str">
        <f t="shared" si="100"/>
        <v>금</v>
      </c>
      <c r="D1327" s="3">
        <v>45436</v>
      </c>
      <c r="E1327" s="7">
        <v>0</v>
      </c>
      <c r="F1327" s="2" t="s">
        <v>15</v>
      </c>
      <c r="I1327" s="1">
        <f>+COUNTIF(F$3:$F1327,F1327)</f>
        <v>91</v>
      </c>
      <c r="K1327" s="132" t="str">
        <f t="shared" si="101"/>
        <v>평일</v>
      </c>
    </row>
    <row r="1328" spans="1:11" ht="21.75" customHeight="1" x14ac:dyDescent="0.25">
      <c r="A1328" s="2">
        <f t="shared" si="98"/>
        <v>2024</v>
      </c>
      <c r="B1328" s="2">
        <f t="shared" si="99"/>
        <v>5</v>
      </c>
      <c r="C1328" s="2" t="str">
        <f t="shared" si="100"/>
        <v>토</v>
      </c>
      <c r="D1328" s="3">
        <v>45437</v>
      </c>
      <c r="E1328" s="7">
        <v>0</v>
      </c>
      <c r="F1328" s="2" t="s">
        <v>15</v>
      </c>
      <c r="I1328" s="1">
        <f>+COUNTIF(F$3:$F1328,F1328)</f>
        <v>92</v>
      </c>
      <c r="K1328" s="132" t="str">
        <f t="shared" si="101"/>
        <v>주말</v>
      </c>
    </row>
    <row r="1329" spans="1:11" ht="21.75" customHeight="1" x14ac:dyDescent="0.25">
      <c r="A1329" s="2">
        <f t="shared" si="98"/>
        <v>2024</v>
      </c>
      <c r="B1329" s="2">
        <f t="shared" si="99"/>
        <v>5</v>
      </c>
      <c r="C1329" s="2" t="str">
        <f t="shared" si="100"/>
        <v>일</v>
      </c>
      <c r="D1329" s="3">
        <v>45438</v>
      </c>
      <c r="E1329" s="7">
        <v>0</v>
      </c>
      <c r="F1329" s="2" t="s">
        <v>15</v>
      </c>
      <c r="I1329" s="1">
        <f>+COUNTIF(F$3:$F1329,F1329)</f>
        <v>93</v>
      </c>
      <c r="K1329" s="132" t="str">
        <f t="shared" si="101"/>
        <v>주말</v>
      </c>
    </row>
    <row r="1330" spans="1:11" ht="21.75" customHeight="1" x14ac:dyDescent="0.25">
      <c r="A1330" s="2">
        <f t="shared" si="98"/>
        <v>2024</v>
      </c>
      <c r="B1330" s="2">
        <f t="shared" si="99"/>
        <v>5</v>
      </c>
      <c r="C1330" s="2" t="str">
        <f t="shared" si="100"/>
        <v>월</v>
      </c>
      <c r="D1330" s="3">
        <v>45439</v>
      </c>
      <c r="E1330" s="7">
        <v>0</v>
      </c>
      <c r="F1330" s="2">
        <v>0</v>
      </c>
      <c r="I1330" s="1">
        <f>+COUNTIF(F$3:$F1330,F1330)</f>
        <v>370</v>
      </c>
      <c r="K1330" s="132" t="str">
        <f t="shared" si="101"/>
        <v>평일</v>
      </c>
    </row>
    <row r="1331" spans="1:11" ht="21.75" customHeight="1" x14ac:dyDescent="0.25">
      <c r="A1331" s="2">
        <f t="shared" si="98"/>
        <v>2024</v>
      </c>
      <c r="B1331" s="2">
        <f t="shared" si="99"/>
        <v>5</v>
      </c>
      <c r="C1331" s="2" t="str">
        <f t="shared" si="100"/>
        <v>화</v>
      </c>
      <c r="D1331" s="3">
        <v>45440</v>
      </c>
      <c r="E1331" s="7">
        <v>0</v>
      </c>
      <c r="F1331" s="2">
        <v>0</v>
      </c>
      <c r="I1331" s="1">
        <f>+COUNTIF(F$3:$F1331,F1331)</f>
        <v>371</v>
      </c>
      <c r="K1331" s="132" t="str">
        <f t="shared" si="101"/>
        <v>평일</v>
      </c>
    </row>
    <row r="1332" spans="1:11" ht="21.75" customHeight="1" x14ac:dyDescent="0.25">
      <c r="A1332" s="2">
        <f t="shared" si="98"/>
        <v>2024</v>
      </c>
      <c r="B1332" s="2">
        <f t="shared" si="99"/>
        <v>5</v>
      </c>
      <c r="C1332" s="2" t="str">
        <f t="shared" si="100"/>
        <v>수</v>
      </c>
      <c r="D1332" s="3">
        <v>45441</v>
      </c>
      <c r="E1332" s="7">
        <v>0</v>
      </c>
      <c r="F1332" s="2">
        <v>0</v>
      </c>
      <c r="I1332" s="1">
        <f>+COUNTIF(F$3:$F1332,F1332)</f>
        <v>372</v>
      </c>
      <c r="K1332" s="132" t="str">
        <f t="shared" si="101"/>
        <v>평일</v>
      </c>
    </row>
    <row r="1333" spans="1:11" ht="21.75" customHeight="1" x14ac:dyDescent="0.25">
      <c r="A1333" s="2">
        <f t="shared" si="98"/>
        <v>2024</v>
      </c>
      <c r="B1333" s="2">
        <f t="shared" si="99"/>
        <v>5</v>
      </c>
      <c r="C1333" s="2" t="str">
        <f t="shared" si="100"/>
        <v>목</v>
      </c>
      <c r="D1333" s="3">
        <v>45442</v>
      </c>
      <c r="E1333" s="7">
        <v>0</v>
      </c>
      <c r="F1333" s="2">
        <v>0</v>
      </c>
      <c r="I1333" s="1">
        <f>+COUNTIF(F$3:$F1333,F1333)</f>
        <v>373</v>
      </c>
      <c r="K1333" s="132" t="str">
        <f t="shared" si="101"/>
        <v>평일</v>
      </c>
    </row>
    <row r="1334" spans="1:11" ht="21.75" customHeight="1" x14ac:dyDescent="0.25">
      <c r="A1334" s="2">
        <f t="shared" si="98"/>
        <v>2024</v>
      </c>
      <c r="B1334" s="2">
        <f t="shared" si="99"/>
        <v>5</v>
      </c>
      <c r="C1334" s="2" t="str">
        <f t="shared" si="100"/>
        <v>금</v>
      </c>
      <c r="D1334" s="3">
        <v>45443</v>
      </c>
      <c r="E1334" s="7">
        <v>0</v>
      </c>
      <c r="F1334" s="2">
        <v>0</v>
      </c>
      <c r="I1334" s="1">
        <f>+COUNTIF(F$3:$F1334,F1334)</f>
        <v>374</v>
      </c>
      <c r="K1334" s="132" t="str">
        <f t="shared" si="101"/>
        <v>평일</v>
      </c>
    </row>
    <row r="1335" spans="1:11" ht="21.75" customHeight="1" x14ac:dyDescent="0.25">
      <c r="A1335" s="2">
        <f t="shared" si="98"/>
        <v>2024</v>
      </c>
      <c r="B1335" s="2">
        <f t="shared" si="99"/>
        <v>6</v>
      </c>
      <c r="C1335" s="2" t="str">
        <f t="shared" si="100"/>
        <v>토</v>
      </c>
      <c r="D1335" s="3">
        <v>45444</v>
      </c>
      <c r="E1335" s="7">
        <v>0</v>
      </c>
      <c r="F1335" s="2">
        <v>0</v>
      </c>
      <c r="I1335" s="1">
        <f>+COUNTIF(F$3:$F1335,F1335)</f>
        <v>375</v>
      </c>
      <c r="K1335" s="132" t="str">
        <f t="shared" si="101"/>
        <v>주말</v>
      </c>
    </row>
    <row r="1336" spans="1:11" ht="21.75" customHeight="1" x14ac:dyDescent="0.25">
      <c r="A1336" s="2">
        <f t="shared" si="98"/>
        <v>2024</v>
      </c>
      <c r="B1336" s="2">
        <f t="shared" si="99"/>
        <v>6</v>
      </c>
      <c r="C1336" s="2" t="str">
        <f t="shared" si="100"/>
        <v>일</v>
      </c>
      <c r="D1336" s="3">
        <v>45445</v>
      </c>
      <c r="E1336" s="7">
        <v>0</v>
      </c>
      <c r="F1336" s="2">
        <v>0</v>
      </c>
      <c r="I1336" s="1">
        <f>+COUNTIF(F$3:$F1336,F1336)</f>
        <v>376</v>
      </c>
      <c r="K1336" s="132" t="str">
        <f t="shared" si="101"/>
        <v>주말</v>
      </c>
    </row>
    <row r="1337" spans="1:11" ht="21.75" customHeight="1" x14ac:dyDescent="0.25">
      <c r="A1337" s="2">
        <f t="shared" si="98"/>
        <v>2024</v>
      </c>
      <c r="B1337" s="2">
        <f t="shared" si="99"/>
        <v>6</v>
      </c>
      <c r="C1337" s="2" t="str">
        <f t="shared" si="100"/>
        <v>월</v>
      </c>
      <c r="D1337" s="3">
        <v>45446</v>
      </c>
      <c r="E1337" s="7">
        <v>0</v>
      </c>
      <c r="F1337" s="2">
        <v>0</v>
      </c>
      <c r="I1337" s="1">
        <f>+COUNTIF(F$3:$F1337,F1337)</f>
        <v>377</v>
      </c>
      <c r="K1337" s="132" t="str">
        <f t="shared" si="101"/>
        <v>평일</v>
      </c>
    </row>
    <row r="1338" spans="1:11" ht="21.75" customHeight="1" x14ac:dyDescent="0.25">
      <c r="A1338" s="2">
        <f t="shared" si="98"/>
        <v>2024</v>
      </c>
      <c r="B1338" s="2">
        <f t="shared" si="99"/>
        <v>6</v>
      </c>
      <c r="C1338" s="2" t="str">
        <f t="shared" si="100"/>
        <v>화</v>
      </c>
      <c r="D1338" s="3">
        <v>45447</v>
      </c>
      <c r="E1338" s="7">
        <v>0</v>
      </c>
      <c r="F1338" s="2">
        <v>0</v>
      </c>
      <c r="I1338" s="1">
        <f>+COUNTIF(F$3:$F1338,F1338)</f>
        <v>378</v>
      </c>
      <c r="K1338" s="132" t="str">
        <f t="shared" si="101"/>
        <v>평일</v>
      </c>
    </row>
    <row r="1339" spans="1:11" ht="21.75" customHeight="1" x14ac:dyDescent="0.25">
      <c r="A1339" s="2">
        <f t="shared" si="98"/>
        <v>2024</v>
      </c>
      <c r="B1339" s="2">
        <f t="shared" si="99"/>
        <v>6</v>
      </c>
      <c r="C1339" s="2" t="str">
        <f t="shared" si="100"/>
        <v>수</v>
      </c>
      <c r="D1339" s="3">
        <v>45448</v>
      </c>
      <c r="E1339" s="7">
        <v>0</v>
      </c>
      <c r="F1339" s="2">
        <v>0</v>
      </c>
      <c r="I1339" s="1">
        <f>+COUNTIF(F$3:$F1339,F1339)</f>
        <v>379</v>
      </c>
      <c r="K1339" s="132" t="str">
        <f t="shared" si="101"/>
        <v>평일</v>
      </c>
    </row>
    <row r="1340" spans="1:11" ht="21.75" customHeight="1" x14ac:dyDescent="0.25">
      <c r="A1340" s="2">
        <f t="shared" si="98"/>
        <v>2024</v>
      </c>
      <c r="B1340" s="2">
        <f t="shared" si="99"/>
        <v>6</v>
      </c>
      <c r="C1340" s="2" t="str">
        <f t="shared" si="100"/>
        <v>목</v>
      </c>
      <c r="D1340" s="3">
        <v>45449</v>
      </c>
      <c r="E1340" s="7">
        <v>0</v>
      </c>
      <c r="F1340" s="2">
        <v>0</v>
      </c>
      <c r="I1340" s="1">
        <f>+COUNTIF(F$3:$F1340,F1340)</f>
        <v>380</v>
      </c>
      <c r="K1340" s="132" t="str">
        <f t="shared" si="101"/>
        <v>평일</v>
      </c>
    </row>
    <row r="1341" spans="1:11" ht="21.75" customHeight="1" x14ac:dyDescent="0.25">
      <c r="A1341" s="2">
        <f t="shared" si="98"/>
        <v>2024</v>
      </c>
      <c r="B1341" s="2">
        <f t="shared" si="99"/>
        <v>6</v>
      </c>
      <c r="C1341" s="2" t="str">
        <f t="shared" si="100"/>
        <v>금</v>
      </c>
      <c r="D1341" s="3">
        <v>45450</v>
      </c>
      <c r="E1341" s="7">
        <v>0</v>
      </c>
      <c r="F1341" s="2">
        <v>0</v>
      </c>
      <c r="I1341" s="1">
        <f>+COUNTIF(F$3:$F1341,F1341)</f>
        <v>381</v>
      </c>
      <c r="K1341" s="132" t="str">
        <f t="shared" si="101"/>
        <v>평일</v>
      </c>
    </row>
    <row r="1342" spans="1:11" ht="21.75" customHeight="1" x14ac:dyDescent="0.25">
      <c r="A1342" s="2">
        <f t="shared" si="98"/>
        <v>2024</v>
      </c>
      <c r="B1342" s="2">
        <f t="shared" si="99"/>
        <v>6</v>
      </c>
      <c r="C1342" s="2" t="str">
        <f t="shared" si="100"/>
        <v>토</v>
      </c>
      <c r="D1342" s="3">
        <v>45451</v>
      </c>
      <c r="E1342" s="7">
        <v>0</v>
      </c>
      <c r="F1342" s="2">
        <v>0</v>
      </c>
      <c r="I1342" s="1">
        <f>+COUNTIF(F$3:$F1342,F1342)</f>
        <v>382</v>
      </c>
      <c r="K1342" s="132" t="str">
        <f t="shared" si="101"/>
        <v>주말</v>
      </c>
    </row>
    <row r="1343" spans="1:11" ht="21.75" customHeight="1" x14ac:dyDescent="0.25">
      <c r="A1343" s="2">
        <f t="shared" si="98"/>
        <v>2024</v>
      </c>
      <c r="B1343" s="2">
        <f t="shared" si="99"/>
        <v>6</v>
      </c>
      <c r="C1343" s="2" t="str">
        <f t="shared" si="100"/>
        <v>일</v>
      </c>
      <c r="D1343" s="3">
        <v>45452</v>
      </c>
      <c r="E1343" s="7">
        <v>0</v>
      </c>
      <c r="F1343" s="2">
        <v>0</v>
      </c>
      <c r="I1343" s="1">
        <f>+COUNTIF(F$3:$F1343,F1343)</f>
        <v>383</v>
      </c>
      <c r="K1343" s="132" t="str">
        <f t="shared" si="101"/>
        <v>주말</v>
      </c>
    </row>
    <row r="1344" spans="1:11" ht="21.75" customHeight="1" x14ac:dyDescent="0.25">
      <c r="A1344" s="2">
        <f t="shared" si="98"/>
        <v>2024</v>
      </c>
      <c r="B1344" s="2">
        <f t="shared" si="99"/>
        <v>6</v>
      </c>
      <c r="C1344" s="2" t="str">
        <f t="shared" si="100"/>
        <v>월</v>
      </c>
      <c r="D1344" s="3">
        <v>45453</v>
      </c>
      <c r="E1344" s="7">
        <v>0</v>
      </c>
      <c r="F1344" s="2">
        <v>0</v>
      </c>
      <c r="I1344" s="1">
        <f>+COUNTIF(F$3:$F1344,F1344)</f>
        <v>384</v>
      </c>
      <c r="K1344" s="132" t="str">
        <f t="shared" si="101"/>
        <v>평일</v>
      </c>
    </row>
    <row r="1345" spans="1:11" ht="21.75" customHeight="1" x14ac:dyDescent="0.25">
      <c r="A1345" s="2">
        <f t="shared" si="98"/>
        <v>2024</v>
      </c>
      <c r="B1345" s="2">
        <f t="shared" si="99"/>
        <v>6</v>
      </c>
      <c r="C1345" s="2" t="str">
        <f t="shared" si="100"/>
        <v>화</v>
      </c>
      <c r="D1345" s="3">
        <v>45454</v>
      </c>
      <c r="E1345" s="7">
        <v>0</v>
      </c>
      <c r="F1345" s="2">
        <v>0</v>
      </c>
      <c r="I1345" s="1">
        <f>+COUNTIF(F$3:$F1345,F1345)</f>
        <v>385</v>
      </c>
      <c r="K1345" s="132" t="str">
        <f t="shared" si="101"/>
        <v>평일</v>
      </c>
    </row>
    <row r="1346" spans="1:11" ht="21.75" customHeight="1" x14ac:dyDescent="0.25">
      <c r="A1346" s="2">
        <f t="shared" si="98"/>
        <v>2024</v>
      </c>
      <c r="B1346" s="2">
        <f t="shared" si="99"/>
        <v>6</v>
      </c>
      <c r="C1346" s="2" t="str">
        <f t="shared" si="100"/>
        <v>수</v>
      </c>
      <c r="D1346" s="3">
        <v>45455</v>
      </c>
      <c r="E1346" s="7">
        <v>0</v>
      </c>
      <c r="F1346" s="2">
        <v>0</v>
      </c>
      <c r="I1346" s="1">
        <f>+COUNTIF(F$3:$F1346,F1346)</f>
        <v>386</v>
      </c>
      <c r="K1346" s="132" t="str">
        <f t="shared" si="101"/>
        <v>평일</v>
      </c>
    </row>
    <row r="1347" spans="1:11" ht="21.75" customHeight="1" x14ac:dyDescent="0.25">
      <c r="A1347" s="2">
        <f t="shared" si="98"/>
        <v>2024</v>
      </c>
      <c r="B1347" s="2">
        <f t="shared" si="99"/>
        <v>6</v>
      </c>
      <c r="C1347" s="2" t="str">
        <f t="shared" si="100"/>
        <v>목</v>
      </c>
      <c r="D1347" s="3">
        <v>45456</v>
      </c>
      <c r="E1347" s="7">
        <v>0</v>
      </c>
      <c r="F1347" s="2">
        <v>0</v>
      </c>
      <c r="I1347" s="1">
        <f>+COUNTIF(F$3:$F1347,F1347)</f>
        <v>387</v>
      </c>
      <c r="K1347" s="132" t="str">
        <f t="shared" si="101"/>
        <v>평일</v>
      </c>
    </row>
    <row r="1348" spans="1:11" ht="21.75" customHeight="1" x14ac:dyDescent="0.25">
      <c r="A1348" s="2">
        <f t="shared" ref="A1348:A1411" si="102">+YEAR(D1348)</f>
        <v>2024</v>
      </c>
      <c r="B1348" s="2">
        <f t="shared" ref="B1348:B1411" si="103">+MONTH(D1348)</f>
        <v>6</v>
      </c>
      <c r="C1348" s="2" t="str">
        <f t="shared" ref="C1348:C1411" si="104">+TEXT(D1348,"aaa")</f>
        <v>금</v>
      </c>
      <c r="D1348" s="3">
        <v>45457</v>
      </c>
      <c r="E1348" s="7">
        <v>0</v>
      </c>
      <c r="F1348" s="2">
        <v>0</v>
      </c>
      <c r="I1348" s="1">
        <f>+COUNTIF(F$3:$F1348,F1348)</f>
        <v>388</v>
      </c>
      <c r="K1348" s="132" t="str">
        <f t="shared" ref="K1348:K1411" si="105">+IF(OR(C1348="토",C1348="일"),"주말","평일")</f>
        <v>평일</v>
      </c>
    </row>
    <row r="1349" spans="1:11" ht="21.75" customHeight="1" x14ac:dyDescent="0.25">
      <c r="A1349" s="2">
        <f t="shared" si="102"/>
        <v>2024</v>
      </c>
      <c r="B1349" s="2">
        <f t="shared" si="103"/>
        <v>6</v>
      </c>
      <c r="C1349" s="2" t="str">
        <f t="shared" si="104"/>
        <v>토</v>
      </c>
      <c r="D1349" s="3">
        <v>45458</v>
      </c>
      <c r="E1349" s="7">
        <v>0</v>
      </c>
      <c r="F1349" s="2">
        <v>0</v>
      </c>
      <c r="I1349" s="1">
        <f>+COUNTIF(F$3:$F1349,F1349)</f>
        <v>389</v>
      </c>
      <c r="K1349" s="132" t="str">
        <f t="shared" si="105"/>
        <v>주말</v>
      </c>
    </row>
    <row r="1350" spans="1:11" ht="21.75" customHeight="1" x14ac:dyDescent="0.25">
      <c r="A1350" s="2">
        <f t="shared" si="102"/>
        <v>2024</v>
      </c>
      <c r="B1350" s="2">
        <f t="shared" si="103"/>
        <v>6</v>
      </c>
      <c r="C1350" s="2" t="str">
        <f t="shared" si="104"/>
        <v>일</v>
      </c>
      <c r="D1350" s="3">
        <v>45459</v>
      </c>
      <c r="E1350" s="7">
        <v>0</v>
      </c>
      <c r="F1350" s="2">
        <v>0</v>
      </c>
      <c r="I1350" s="1">
        <f>+COUNTIF(F$3:$F1350,F1350)</f>
        <v>390</v>
      </c>
      <c r="K1350" s="132" t="str">
        <f t="shared" si="105"/>
        <v>주말</v>
      </c>
    </row>
    <row r="1351" spans="1:11" ht="21.75" customHeight="1" x14ac:dyDescent="0.25">
      <c r="A1351" s="2">
        <f t="shared" si="102"/>
        <v>2024</v>
      </c>
      <c r="B1351" s="2">
        <f t="shared" si="103"/>
        <v>6</v>
      </c>
      <c r="C1351" s="2" t="str">
        <f t="shared" si="104"/>
        <v>월</v>
      </c>
      <c r="D1351" s="3">
        <v>45460</v>
      </c>
      <c r="E1351" s="7">
        <v>0</v>
      </c>
      <c r="F1351" s="2">
        <v>0</v>
      </c>
      <c r="I1351" s="1">
        <f>+COUNTIF(F$3:$F1351,F1351)</f>
        <v>391</v>
      </c>
      <c r="K1351" s="132" t="str">
        <f t="shared" si="105"/>
        <v>평일</v>
      </c>
    </row>
    <row r="1352" spans="1:11" ht="21.75" customHeight="1" x14ac:dyDescent="0.25">
      <c r="A1352" s="2">
        <f t="shared" si="102"/>
        <v>2024</v>
      </c>
      <c r="B1352" s="2">
        <f t="shared" si="103"/>
        <v>6</v>
      </c>
      <c r="C1352" s="2" t="str">
        <f t="shared" si="104"/>
        <v>화</v>
      </c>
      <c r="D1352" s="3">
        <v>45461</v>
      </c>
      <c r="E1352" s="7">
        <v>0</v>
      </c>
      <c r="F1352" s="2">
        <v>0</v>
      </c>
      <c r="I1352" s="1">
        <f>+COUNTIF(F$3:$F1352,F1352)</f>
        <v>392</v>
      </c>
      <c r="K1352" s="132" t="str">
        <f t="shared" si="105"/>
        <v>평일</v>
      </c>
    </row>
    <row r="1353" spans="1:11" ht="21.75" customHeight="1" x14ac:dyDescent="0.25">
      <c r="A1353" s="2">
        <f t="shared" si="102"/>
        <v>2024</v>
      </c>
      <c r="B1353" s="2">
        <f t="shared" si="103"/>
        <v>6</v>
      </c>
      <c r="C1353" s="2" t="str">
        <f t="shared" si="104"/>
        <v>수</v>
      </c>
      <c r="D1353" s="3">
        <v>45462</v>
      </c>
      <c r="E1353" s="7">
        <v>0</v>
      </c>
      <c r="F1353" s="2">
        <v>0</v>
      </c>
      <c r="I1353" s="1">
        <f>+COUNTIF(F$3:$F1353,F1353)</f>
        <v>393</v>
      </c>
      <c r="K1353" s="132" t="str">
        <f t="shared" si="105"/>
        <v>평일</v>
      </c>
    </row>
    <row r="1354" spans="1:11" ht="21.75" customHeight="1" x14ac:dyDescent="0.25">
      <c r="A1354" s="2">
        <f t="shared" si="102"/>
        <v>2024</v>
      </c>
      <c r="B1354" s="2">
        <f t="shared" si="103"/>
        <v>6</v>
      </c>
      <c r="C1354" s="2" t="str">
        <f t="shared" si="104"/>
        <v>목</v>
      </c>
      <c r="D1354" s="3">
        <v>45463</v>
      </c>
      <c r="E1354" s="7">
        <v>0</v>
      </c>
      <c r="F1354" s="2">
        <v>0</v>
      </c>
      <c r="I1354" s="1">
        <f>+COUNTIF(F$3:$F1354,F1354)</f>
        <v>394</v>
      </c>
      <c r="K1354" s="132" t="str">
        <f t="shared" si="105"/>
        <v>평일</v>
      </c>
    </row>
    <row r="1355" spans="1:11" ht="21.75" customHeight="1" x14ac:dyDescent="0.25">
      <c r="A1355" s="2">
        <f t="shared" si="102"/>
        <v>2024</v>
      </c>
      <c r="B1355" s="2">
        <f t="shared" si="103"/>
        <v>6</v>
      </c>
      <c r="C1355" s="2" t="str">
        <f t="shared" si="104"/>
        <v>금</v>
      </c>
      <c r="D1355" s="3">
        <v>45464</v>
      </c>
      <c r="E1355" s="7">
        <v>0</v>
      </c>
      <c r="F1355" s="2">
        <v>0</v>
      </c>
      <c r="I1355" s="1">
        <f>+COUNTIF(F$3:$F1355,F1355)</f>
        <v>395</v>
      </c>
      <c r="K1355" s="132" t="str">
        <f t="shared" si="105"/>
        <v>평일</v>
      </c>
    </row>
    <row r="1356" spans="1:11" ht="21.75" customHeight="1" x14ac:dyDescent="0.25">
      <c r="A1356" s="2">
        <f t="shared" si="102"/>
        <v>2024</v>
      </c>
      <c r="B1356" s="2">
        <f t="shared" si="103"/>
        <v>6</v>
      </c>
      <c r="C1356" s="2" t="str">
        <f t="shared" si="104"/>
        <v>토</v>
      </c>
      <c r="D1356" s="3">
        <v>45465</v>
      </c>
      <c r="E1356" s="7">
        <v>0</v>
      </c>
      <c r="F1356" s="2">
        <v>0</v>
      </c>
      <c r="I1356" s="1">
        <f>+COUNTIF(F$3:$F1356,F1356)</f>
        <v>396</v>
      </c>
      <c r="K1356" s="132" t="str">
        <f t="shared" si="105"/>
        <v>주말</v>
      </c>
    </row>
    <row r="1357" spans="1:11" ht="21.75" customHeight="1" x14ac:dyDescent="0.25">
      <c r="A1357" s="2">
        <f t="shared" si="102"/>
        <v>2024</v>
      </c>
      <c r="B1357" s="2">
        <f t="shared" si="103"/>
        <v>6</v>
      </c>
      <c r="C1357" s="2" t="str">
        <f t="shared" si="104"/>
        <v>일</v>
      </c>
      <c r="D1357" s="3">
        <v>45466</v>
      </c>
      <c r="E1357" s="7">
        <v>0</v>
      </c>
      <c r="F1357" s="2">
        <v>0</v>
      </c>
      <c r="I1357" s="1">
        <f>+COUNTIF(F$3:$F1357,F1357)</f>
        <v>397</v>
      </c>
      <c r="K1357" s="132" t="str">
        <f t="shared" si="105"/>
        <v>주말</v>
      </c>
    </row>
    <row r="1358" spans="1:11" ht="21.75" customHeight="1" x14ac:dyDescent="0.25">
      <c r="A1358" s="2">
        <f t="shared" si="102"/>
        <v>2024</v>
      </c>
      <c r="B1358" s="2">
        <f t="shared" si="103"/>
        <v>6</v>
      </c>
      <c r="C1358" s="2" t="str">
        <f t="shared" si="104"/>
        <v>월</v>
      </c>
      <c r="D1358" s="3">
        <v>45467</v>
      </c>
      <c r="E1358" s="7">
        <v>0</v>
      </c>
      <c r="F1358" s="2">
        <v>0</v>
      </c>
      <c r="I1358" s="1">
        <f>+COUNTIF(F$3:$F1358,F1358)</f>
        <v>398</v>
      </c>
      <c r="K1358" s="132" t="str">
        <f t="shared" si="105"/>
        <v>평일</v>
      </c>
    </row>
    <row r="1359" spans="1:11" ht="21.75" customHeight="1" x14ac:dyDescent="0.25">
      <c r="A1359" s="2">
        <f t="shared" si="102"/>
        <v>2024</v>
      </c>
      <c r="B1359" s="2">
        <f t="shared" si="103"/>
        <v>6</v>
      </c>
      <c r="C1359" s="2" t="str">
        <f t="shared" si="104"/>
        <v>화</v>
      </c>
      <c r="D1359" s="3">
        <v>45468</v>
      </c>
      <c r="E1359" s="7">
        <v>0</v>
      </c>
      <c r="F1359" s="2">
        <v>0</v>
      </c>
      <c r="I1359" s="1">
        <f>+COUNTIF(F$3:$F1359,F1359)</f>
        <v>399</v>
      </c>
      <c r="K1359" s="132" t="str">
        <f t="shared" si="105"/>
        <v>평일</v>
      </c>
    </row>
    <row r="1360" spans="1:11" ht="21.75" customHeight="1" x14ac:dyDescent="0.25">
      <c r="A1360" s="2">
        <f t="shared" si="102"/>
        <v>2024</v>
      </c>
      <c r="B1360" s="2">
        <f t="shared" si="103"/>
        <v>6</v>
      </c>
      <c r="C1360" s="2" t="str">
        <f t="shared" si="104"/>
        <v>수</v>
      </c>
      <c r="D1360" s="3">
        <v>45469</v>
      </c>
      <c r="E1360" s="7">
        <v>0</v>
      </c>
      <c r="F1360" s="2">
        <v>0</v>
      </c>
      <c r="I1360" s="1">
        <f>+COUNTIF(F$3:$F1360,F1360)</f>
        <v>400</v>
      </c>
      <c r="K1360" s="132" t="str">
        <f t="shared" si="105"/>
        <v>평일</v>
      </c>
    </row>
    <row r="1361" spans="1:11" ht="21.75" customHeight="1" x14ac:dyDescent="0.25">
      <c r="A1361" s="2">
        <f t="shared" si="102"/>
        <v>2024</v>
      </c>
      <c r="B1361" s="2">
        <f t="shared" si="103"/>
        <v>6</v>
      </c>
      <c r="C1361" s="2" t="str">
        <f t="shared" si="104"/>
        <v>목</v>
      </c>
      <c r="D1361" s="3">
        <v>45470</v>
      </c>
      <c r="E1361" s="7">
        <v>0</v>
      </c>
      <c r="F1361" s="2">
        <v>0</v>
      </c>
      <c r="I1361" s="1">
        <f>+COUNTIF(F$3:$F1361,F1361)</f>
        <v>401</v>
      </c>
      <c r="K1361" s="132" t="str">
        <f t="shared" si="105"/>
        <v>평일</v>
      </c>
    </row>
    <row r="1362" spans="1:11" ht="21.75" customHeight="1" x14ac:dyDescent="0.25">
      <c r="A1362" s="2">
        <f t="shared" si="102"/>
        <v>2024</v>
      </c>
      <c r="B1362" s="2">
        <f t="shared" si="103"/>
        <v>6</v>
      </c>
      <c r="C1362" s="2" t="str">
        <f t="shared" si="104"/>
        <v>금</v>
      </c>
      <c r="D1362" s="3">
        <v>45471</v>
      </c>
      <c r="E1362" s="7">
        <v>0</v>
      </c>
      <c r="F1362" s="2">
        <v>0</v>
      </c>
      <c r="I1362" s="1">
        <f>+COUNTIF(F$3:$F1362,F1362)</f>
        <v>402</v>
      </c>
      <c r="K1362" s="132" t="str">
        <f t="shared" si="105"/>
        <v>평일</v>
      </c>
    </row>
    <row r="1363" spans="1:11" ht="21.75" customHeight="1" x14ac:dyDescent="0.25">
      <c r="A1363" s="2">
        <f t="shared" si="102"/>
        <v>2024</v>
      </c>
      <c r="B1363" s="2">
        <f t="shared" si="103"/>
        <v>6</v>
      </c>
      <c r="C1363" s="2" t="str">
        <f t="shared" si="104"/>
        <v>토</v>
      </c>
      <c r="D1363" s="3">
        <v>45472</v>
      </c>
      <c r="E1363" s="7">
        <v>0</v>
      </c>
      <c r="F1363" s="2">
        <v>0</v>
      </c>
      <c r="I1363" s="1">
        <f>+COUNTIF(F$3:$F1363,F1363)</f>
        <v>403</v>
      </c>
      <c r="K1363" s="132" t="str">
        <f t="shared" si="105"/>
        <v>주말</v>
      </c>
    </row>
    <row r="1364" spans="1:11" ht="21.75" customHeight="1" x14ac:dyDescent="0.25">
      <c r="A1364" s="2">
        <f t="shared" si="102"/>
        <v>2024</v>
      </c>
      <c r="B1364" s="2">
        <f t="shared" si="103"/>
        <v>6</v>
      </c>
      <c r="C1364" s="2" t="str">
        <f t="shared" si="104"/>
        <v>일</v>
      </c>
      <c r="D1364" s="3">
        <v>45473</v>
      </c>
      <c r="E1364" s="7">
        <v>0</v>
      </c>
      <c r="F1364" s="2">
        <v>0</v>
      </c>
      <c r="I1364" s="1">
        <f>+COUNTIF(F$3:$F1364,F1364)</f>
        <v>404</v>
      </c>
      <c r="K1364" s="132" t="str">
        <f t="shared" si="105"/>
        <v>주말</v>
      </c>
    </row>
    <row r="1365" spans="1:11" ht="21.75" customHeight="1" x14ac:dyDescent="0.25">
      <c r="A1365" s="2">
        <f t="shared" si="102"/>
        <v>2024</v>
      </c>
      <c r="B1365" s="2">
        <f t="shared" si="103"/>
        <v>7</v>
      </c>
      <c r="C1365" s="2" t="str">
        <f t="shared" si="104"/>
        <v>월</v>
      </c>
      <c r="D1365" s="3">
        <v>45474</v>
      </c>
      <c r="E1365" s="7">
        <v>0</v>
      </c>
      <c r="F1365" s="2">
        <v>0</v>
      </c>
      <c r="I1365" s="1">
        <f>+COUNTIF(F$3:$F1365,F1365)</f>
        <v>405</v>
      </c>
      <c r="K1365" s="132" t="str">
        <f t="shared" si="105"/>
        <v>평일</v>
      </c>
    </row>
    <row r="1366" spans="1:11" ht="21.75" customHeight="1" x14ac:dyDescent="0.25">
      <c r="A1366" s="2">
        <f t="shared" si="102"/>
        <v>2024</v>
      </c>
      <c r="B1366" s="2">
        <f t="shared" si="103"/>
        <v>7</v>
      </c>
      <c r="C1366" s="2" t="str">
        <f t="shared" si="104"/>
        <v>화</v>
      </c>
      <c r="D1366" s="3">
        <v>45475</v>
      </c>
      <c r="E1366" s="7">
        <v>0</v>
      </c>
      <c r="F1366" s="2">
        <v>0</v>
      </c>
      <c r="I1366" s="1">
        <f>+COUNTIF(F$3:$F1366,F1366)</f>
        <v>406</v>
      </c>
      <c r="K1366" s="132" t="str">
        <f t="shared" si="105"/>
        <v>평일</v>
      </c>
    </row>
    <row r="1367" spans="1:11" ht="21.75" customHeight="1" x14ac:dyDescent="0.25">
      <c r="A1367" s="2">
        <f t="shared" si="102"/>
        <v>2024</v>
      </c>
      <c r="B1367" s="2">
        <f t="shared" si="103"/>
        <v>7</v>
      </c>
      <c r="C1367" s="2" t="str">
        <f t="shared" si="104"/>
        <v>수</v>
      </c>
      <c r="D1367" s="3">
        <v>45476</v>
      </c>
      <c r="E1367" s="7">
        <v>0</v>
      </c>
      <c r="F1367" s="2">
        <v>0</v>
      </c>
      <c r="I1367" s="1">
        <f>+COUNTIF(F$3:$F1367,F1367)</f>
        <v>407</v>
      </c>
      <c r="K1367" s="132" t="str">
        <f t="shared" si="105"/>
        <v>평일</v>
      </c>
    </row>
    <row r="1368" spans="1:11" ht="21.75" customHeight="1" x14ac:dyDescent="0.25">
      <c r="A1368" s="2">
        <f t="shared" si="102"/>
        <v>2024</v>
      </c>
      <c r="B1368" s="2">
        <f t="shared" si="103"/>
        <v>7</v>
      </c>
      <c r="C1368" s="2" t="str">
        <f t="shared" si="104"/>
        <v>목</v>
      </c>
      <c r="D1368" s="3">
        <v>45477</v>
      </c>
      <c r="E1368" s="7">
        <v>0</v>
      </c>
      <c r="F1368" s="2">
        <v>0</v>
      </c>
      <c r="I1368" s="1">
        <f>+COUNTIF(F$3:$F1368,F1368)</f>
        <v>408</v>
      </c>
      <c r="K1368" s="132" t="str">
        <f t="shared" si="105"/>
        <v>평일</v>
      </c>
    </row>
    <row r="1369" spans="1:11" ht="21.75" customHeight="1" x14ac:dyDescent="0.25">
      <c r="A1369" s="2">
        <f t="shared" si="102"/>
        <v>2024</v>
      </c>
      <c r="B1369" s="2">
        <f t="shared" si="103"/>
        <v>7</v>
      </c>
      <c r="C1369" s="2" t="str">
        <f t="shared" si="104"/>
        <v>금</v>
      </c>
      <c r="D1369" s="3">
        <v>45478</v>
      </c>
      <c r="E1369" s="7">
        <v>0</v>
      </c>
      <c r="F1369" s="2">
        <v>0</v>
      </c>
      <c r="I1369" s="1">
        <f>+COUNTIF(F$3:$F1369,F1369)</f>
        <v>409</v>
      </c>
      <c r="K1369" s="132" t="str">
        <f t="shared" si="105"/>
        <v>평일</v>
      </c>
    </row>
    <row r="1370" spans="1:11" ht="21.75" customHeight="1" x14ac:dyDescent="0.25">
      <c r="A1370" s="2">
        <f t="shared" si="102"/>
        <v>2024</v>
      </c>
      <c r="B1370" s="2">
        <f t="shared" si="103"/>
        <v>7</v>
      </c>
      <c r="C1370" s="2" t="str">
        <f t="shared" si="104"/>
        <v>토</v>
      </c>
      <c r="D1370" s="3">
        <v>45479</v>
      </c>
      <c r="E1370" s="7">
        <v>0</v>
      </c>
      <c r="F1370" s="2">
        <v>0</v>
      </c>
      <c r="I1370" s="1">
        <f>+COUNTIF(F$3:$F1370,F1370)</f>
        <v>410</v>
      </c>
      <c r="K1370" s="132" t="str">
        <f t="shared" si="105"/>
        <v>주말</v>
      </c>
    </row>
    <row r="1371" spans="1:11" ht="21.75" customHeight="1" x14ac:dyDescent="0.25">
      <c r="A1371" s="2">
        <f t="shared" si="102"/>
        <v>2024</v>
      </c>
      <c r="B1371" s="2">
        <f t="shared" si="103"/>
        <v>7</v>
      </c>
      <c r="C1371" s="2" t="str">
        <f t="shared" si="104"/>
        <v>일</v>
      </c>
      <c r="D1371" s="3">
        <v>45480</v>
      </c>
      <c r="E1371" s="7">
        <v>0</v>
      </c>
      <c r="F1371" s="2">
        <v>0</v>
      </c>
      <c r="I1371" s="1">
        <f>+COUNTIF(F$3:$F1371,F1371)</f>
        <v>411</v>
      </c>
      <c r="K1371" s="132" t="str">
        <f t="shared" si="105"/>
        <v>주말</v>
      </c>
    </row>
    <row r="1372" spans="1:11" ht="21.75" customHeight="1" x14ac:dyDescent="0.25">
      <c r="A1372" s="2">
        <f t="shared" si="102"/>
        <v>2024</v>
      </c>
      <c r="B1372" s="2">
        <f t="shared" si="103"/>
        <v>7</v>
      </c>
      <c r="C1372" s="2" t="str">
        <f t="shared" si="104"/>
        <v>월</v>
      </c>
      <c r="D1372" s="3">
        <v>45481</v>
      </c>
      <c r="E1372" s="7">
        <v>0</v>
      </c>
      <c r="F1372" s="2">
        <v>0</v>
      </c>
      <c r="I1372" s="1">
        <f>+COUNTIF(F$3:$F1372,F1372)</f>
        <v>412</v>
      </c>
      <c r="K1372" s="132" t="str">
        <f t="shared" si="105"/>
        <v>평일</v>
      </c>
    </row>
    <row r="1373" spans="1:11" ht="21.75" customHeight="1" x14ac:dyDescent="0.25">
      <c r="A1373" s="2">
        <f t="shared" si="102"/>
        <v>2024</v>
      </c>
      <c r="B1373" s="2">
        <f t="shared" si="103"/>
        <v>7</v>
      </c>
      <c r="C1373" s="2" t="str">
        <f t="shared" si="104"/>
        <v>화</v>
      </c>
      <c r="D1373" s="3">
        <v>45482</v>
      </c>
      <c r="E1373" s="7">
        <v>0</v>
      </c>
      <c r="F1373" s="2">
        <v>0</v>
      </c>
      <c r="I1373" s="1">
        <f>+COUNTIF(F$3:$F1373,F1373)</f>
        <v>413</v>
      </c>
      <c r="K1373" s="132" t="str">
        <f t="shared" si="105"/>
        <v>평일</v>
      </c>
    </row>
    <row r="1374" spans="1:11" ht="21.75" customHeight="1" x14ac:dyDescent="0.25">
      <c r="A1374" s="2">
        <f t="shared" si="102"/>
        <v>2024</v>
      </c>
      <c r="B1374" s="2">
        <f t="shared" si="103"/>
        <v>7</v>
      </c>
      <c r="C1374" s="2" t="str">
        <f t="shared" si="104"/>
        <v>수</v>
      </c>
      <c r="D1374" s="3">
        <v>45483</v>
      </c>
      <c r="E1374" s="7">
        <v>0</v>
      </c>
      <c r="F1374" s="2">
        <v>0</v>
      </c>
      <c r="I1374" s="1">
        <f>+COUNTIF(F$3:$F1374,F1374)</f>
        <v>414</v>
      </c>
      <c r="K1374" s="132" t="str">
        <f t="shared" si="105"/>
        <v>평일</v>
      </c>
    </row>
    <row r="1375" spans="1:11" ht="21.75" customHeight="1" x14ac:dyDescent="0.25">
      <c r="A1375" s="2">
        <f t="shared" si="102"/>
        <v>2024</v>
      </c>
      <c r="B1375" s="2">
        <f t="shared" si="103"/>
        <v>7</v>
      </c>
      <c r="C1375" s="2" t="str">
        <f t="shared" si="104"/>
        <v>목</v>
      </c>
      <c r="D1375" s="3">
        <v>45484</v>
      </c>
      <c r="E1375" s="7">
        <v>0</v>
      </c>
      <c r="F1375" s="2">
        <v>0</v>
      </c>
      <c r="I1375" s="1">
        <f>+COUNTIF(F$3:$F1375,F1375)</f>
        <v>415</v>
      </c>
      <c r="K1375" s="132" t="str">
        <f t="shared" si="105"/>
        <v>평일</v>
      </c>
    </row>
    <row r="1376" spans="1:11" ht="21.75" customHeight="1" x14ac:dyDescent="0.25">
      <c r="A1376" s="2">
        <f t="shared" si="102"/>
        <v>2024</v>
      </c>
      <c r="B1376" s="2">
        <f t="shared" si="103"/>
        <v>7</v>
      </c>
      <c r="C1376" s="2" t="str">
        <f t="shared" si="104"/>
        <v>금</v>
      </c>
      <c r="D1376" s="3">
        <v>45485</v>
      </c>
      <c r="E1376" s="7">
        <v>0</v>
      </c>
      <c r="F1376" s="2">
        <v>0</v>
      </c>
      <c r="I1376" s="1">
        <f>+COUNTIF(F$3:$F1376,F1376)</f>
        <v>416</v>
      </c>
      <c r="K1376" s="132" t="str">
        <f t="shared" si="105"/>
        <v>평일</v>
      </c>
    </row>
    <row r="1377" spans="1:11" ht="21.75" customHeight="1" x14ac:dyDescent="0.25">
      <c r="A1377" s="2">
        <f t="shared" si="102"/>
        <v>2024</v>
      </c>
      <c r="B1377" s="2">
        <f t="shared" si="103"/>
        <v>7</v>
      </c>
      <c r="C1377" s="2" t="str">
        <f t="shared" si="104"/>
        <v>토</v>
      </c>
      <c r="D1377" s="3">
        <v>45486</v>
      </c>
      <c r="E1377" s="7">
        <v>0</v>
      </c>
      <c r="F1377" s="2">
        <v>0</v>
      </c>
      <c r="I1377" s="1">
        <f>+COUNTIF(F$3:$F1377,F1377)</f>
        <v>417</v>
      </c>
      <c r="K1377" s="132" t="str">
        <f t="shared" si="105"/>
        <v>주말</v>
      </c>
    </row>
    <row r="1378" spans="1:11" ht="21.75" customHeight="1" x14ac:dyDescent="0.25">
      <c r="A1378" s="2">
        <f t="shared" si="102"/>
        <v>2024</v>
      </c>
      <c r="B1378" s="2">
        <f t="shared" si="103"/>
        <v>7</v>
      </c>
      <c r="C1378" s="2" t="str">
        <f t="shared" si="104"/>
        <v>일</v>
      </c>
      <c r="D1378" s="3">
        <v>45487</v>
      </c>
      <c r="E1378" s="7">
        <v>0</v>
      </c>
      <c r="F1378" s="2">
        <v>0</v>
      </c>
      <c r="I1378" s="1">
        <f>+COUNTIF(F$3:$F1378,F1378)</f>
        <v>418</v>
      </c>
      <c r="K1378" s="132" t="str">
        <f t="shared" si="105"/>
        <v>주말</v>
      </c>
    </row>
    <row r="1379" spans="1:11" ht="21.75" customHeight="1" x14ac:dyDescent="0.25">
      <c r="A1379" s="2">
        <f t="shared" si="102"/>
        <v>2024</v>
      </c>
      <c r="B1379" s="2">
        <f t="shared" si="103"/>
        <v>7</v>
      </c>
      <c r="C1379" s="2" t="str">
        <f t="shared" si="104"/>
        <v>월</v>
      </c>
      <c r="D1379" s="3">
        <v>45488</v>
      </c>
      <c r="E1379" s="7">
        <v>0</v>
      </c>
      <c r="F1379" s="2">
        <v>0</v>
      </c>
      <c r="I1379" s="1">
        <f>+COUNTIF(F$3:$F1379,F1379)</f>
        <v>419</v>
      </c>
      <c r="K1379" s="132" t="str">
        <f t="shared" si="105"/>
        <v>평일</v>
      </c>
    </row>
    <row r="1380" spans="1:11" ht="21.75" customHeight="1" x14ac:dyDescent="0.25">
      <c r="A1380" s="2">
        <f t="shared" si="102"/>
        <v>2024</v>
      </c>
      <c r="B1380" s="2">
        <f t="shared" si="103"/>
        <v>7</v>
      </c>
      <c r="C1380" s="2" t="str">
        <f t="shared" si="104"/>
        <v>화</v>
      </c>
      <c r="D1380" s="3">
        <v>45489</v>
      </c>
      <c r="E1380" s="7">
        <v>0</v>
      </c>
      <c r="F1380" s="2">
        <v>0</v>
      </c>
      <c r="I1380" s="1">
        <f>+COUNTIF(F$3:$F1380,F1380)</f>
        <v>420</v>
      </c>
      <c r="K1380" s="132" t="str">
        <f t="shared" si="105"/>
        <v>평일</v>
      </c>
    </row>
    <row r="1381" spans="1:11" ht="21.75" customHeight="1" x14ac:dyDescent="0.25">
      <c r="A1381" s="2">
        <f t="shared" si="102"/>
        <v>2024</v>
      </c>
      <c r="B1381" s="2">
        <f t="shared" si="103"/>
        <v>7</v>
      </c>
      <c r="C1381" s="2" t="str">
        <f t="shared" si="104"/>
        <v>수</v>
      </c>
      <c r="D1381" s="3">
        <v>45490</v>
      </c>
      <c r="E1381" s="7">
        <v>0</v>
      </c>
      <c r="F1381" s="2">
        <v>0</v>
      </c>
      <c r="I1381" s="1">
        <f>+COUNTIF(F$3:$F1381,F1381)</f>
        <v>421</v>
      </c>
      <c r="K1381" s="132" t="str">
        <f t="shared" si="105"/>
        <v>평일</v>
      </c>
    </row>
    <row r="1382" spans="1:11" ht="21.75" customHeight="1" x14ac:dyDescent="0.25">
      <c r="A1382" s="2">
        <f t="shared" si="102"/>
        <v>2024</v>
      </c>
      <c r="B1382" s="2">
        <f t="shared" si="103"/>
        <v>7</v>
      </c>
      <c r="C1382" s="2" t="str">
        <f t="shared" si="104"/>
        <v>목</v>
      </c>
      <c r="D1382" s="3">
        <v>45491</v>
      </c>
      <c r="E1382" s="7">
        <v>0</v>
      </c>
      <c r="F1382" s="2">
        <v>0</v>
      </c>
      <c r="I1382" s="1">
        <f>+COUNTIF(F$3:$F1382,F1382)</f>
        <v>422</v>
      </c>
      <c r="K1382" s="132" t="str">
        <f t="shared" si="105"/>
        <v>평일</v>
      </c>
    </row>
    <row r="1383" spans="1:11" ht="21.75" customHeight="1" x14ac:dyDescent="0.25">
      <c r="A1383" s="2">
        <f t="shared" si="102"/>
        <v>2024</v>
      </c>
      <c r="B1383" s="2">
        <f t="shared" si="103"/>
        <v>7</v>
      </c>
      <c r="C1383" s="2" t="str">
        <f t="shared" si="104"/>
        <v>금</v>
      </c>
      <c r="D1383" s="3">
        <v>45492</v>
      </c>
      <c r="E1383" s="7">
        <v>0</v>
      </c>
      <c r="F1383" s="2">
        <v>0</v>
      </c>
      <c r="I1383" s="1">
        <f>+COUNTIF(F$3:$F1383,F1383)</f>
        <v>423</v>
      </c>
      <c r="K1383" s="132" t="str">
        <f t="shared" si="105"/>
        <v>평일</v>
      </c>
    </row>
    <row r="1384" spans="1:11" ht="21.75" customHeight="1" x14ac:dyDescent="0.25">
      <c r="A1384" s="2">
        <f t="shared" si="102"/>
        <v>2024</v>
      </c>
      <c r="B1384" s="2">
        <f t="shared" si="103"/>
        <v>7</v>
      </c>
      <c r="C1384" s="2" t="str">
        <f t="shared" si="104"/>
        <v>토</v>
      </c>
      <c r="D1384" s="3">
        <v>45493</v>
      </c>
      <c r="E1384" s="7">
        <v>0</v>
      </c>
      <c r="F1384" s="2">
        <v>0</v>
      </c>
      <c r="I1384" s="1">
        <f>+COUNTIF(F$3:$F1384,F1384)</f>
        <v>424</v>
      </c>
      <c r="K1384" s="132" t="str">
        <f t="shared" si="105"/>
        <v>주말</v>
      </c>
    </row>
    <row r="1385" spans="1:11" ht="21.75" customHeight="1" x14ac:dyDescent="0.25">
      <c r="A1385" s="2">
        <f t="shared" si="102"/>
        <v>2024</v>
      </c>
      <c r="B1385" s="2">
        <f t="shared" si="103"/>
        <v>7</v>
      </c>
      <c r="C1385" s="2" t="str">
        <f t="shared" si="104"/>
        <v>일</v>
      </c>
      <c r="D1385" s="3">
        <v>45494</v>
      </c>
      <c r="E1385" s="7">
        <v>0</v>
      </c>
      <c r="F1385" s="2">
        <v>0</v>
      </c>
      <c r="I1385" s="1">
        <f>+COUNTIF(F$3:$F1385,F1385)</f>
        <v>425</v>
      </c>
      <c r="K1385" s="132" t="str">
        <f t="shared" si="105"/>
        <v>주말</v>
      </c>
    </row>
    <row r="1386" spans="1:11" ht="21.75" customHeight="1" x14ac:dyDescent="0.25">
      <c r="A1386" s="2">
        <f t="shared" si="102"/>
        <v>2024</v>
      </c>
      <c r="B1386" s="2">
        <f t="shared" si="103"/>
        <v>7</v>
      </c>
      <c r="C1386" s="2" t="str">
        <f t="shared" si="104"/>
        <v>월</v>
      </c>
      <c r="D1386" s="3">
        <v>45495</v>
      </c>
      <c r="E1386" s="7">
        <v>0</v>
      </c>
      <c r="F1386" s="2">
        <v>0</v>
      </c>
      <c r="I1386" s="1">
        <f>+COUNTIF(F$3:$F1386,F1386)</f>
        <v>426</v>
      </c>
      <c r="K1386" s="132" t="str">
        <f t="shared" si="105"/>
        <v>평일</v>
      </c>
    </row>
    <row r="1387" spans="1:11" ht="21.75" customHeight="1" x14ac:dyDescent="0.25">
      <c r="A1387" s="2">
        <f t="shared" si="102"/>
        <v>2024</v>
      </c>
      <c r="B1387" s="2">
        <f t="shared" si="103"/>
        <v>7</v>
      </c>
      <c r="C1387" s="2" t="str">
        <f t="shared" si="104"/>
        <v>화</v>
      </c>
      <c r="D1387" s="3">
        <v>45496</v>
      </c>
      <c r="E1387" s="7">
        <v>0</v>
      </c>
      <c r="F1387" s="2">
        <v>0</v>
      </c>
      <c r="I1387" s="1">
        <f>+COUNTIF(F$3:$F1387,F1387)</f>
        <v>427</v>
      </c>
      <c r="K1387" s="132" t="str">
        <f t="shared" si="105"/>
        <v>평일</v>
      </c>
    </row>
    <row r="1388" spans="1:11" ht="21.75" customHeight="1" x14ac:dyDescent="0.25">
      <c r="A1388" s="2">
        <f t="shared" si="102"/>
        <v>2024</v>
      </c>
      <c r="B1388" s="2">
        <f t="shared" si="103"/>
        <v>7</v>
      </c>
      <c r="C1388" s="2" t="str">
        <f t="shared" si="104"/>
        <v>수</v>
      </c>
      <c r="D1388" s="3">
        <v>45497</v>
      </c>
      <c r="E1388" s="7">
        <v>0</v>
      </c>
      <c r="F1388" s="2">
        <v>0</v>
      </c>
      <c r="I1388" s="1">
        <f>+COUNTIF(F$3:$F1388,F1388)</f>
        <v>428</v>
      </c>
      <c r="K1388" s="132" t="str">
        <f t="shared" si="105"/>
        <v>평일</v>
      </c>
    </row>
    <row r="1389" spans="1:11" ht="21.75" customHeight="1" x14ac:dyDescent="0.25">
      <c r="A1389" s="2">
        <f t="shared" si="102"/>
        <v>2024</v>
      </c>
      <c r="B1389" s="2">
        <f t="shared" si="103"/>
        <v>7</v>
      </c>
      <c r="C1389" s="2" t="str">
        <f t="shared" si="104"/>
        <v>목</v>
      </c>
      <c r="D1389" s="3">
        <v>45498</v>
      </c>
      <c r="E1389" s="7">
        <v>0</v>
      </c>
      <c r="F1389" s="2">
        <v>0</v>
      </c>
      <c r="I1389" s="1">
        <f>+COUNTIF(F$3:$F1389,F1389)</f>
        <v>429</v>
      </c>
      <c r="K1389" s="132" t="str">
        <f t="shared" si="105"/>
        <v>평일</v>
      </c>
    </row>
    <row r="1390" spans="1:11" ht="21.75" customHeight="1" x14ac:dyDescent="0.25">
      <c r="A1390" s="2">
        <f t="shared" si="102"/>
        <v>2024</v>
      </c>
      <c r="B1390" s="2">
        <f t="shared" si="103"/>
        <v>7</v>
      </c>
      <c r="C1390" s="2" t="str">
        <f t="shared" si="104"/>
        <v>금</v>
      </c>
      <c r="D1390" s="3">
        <v>45499</v>
      </c>
      <c r="E1390" s="7">
        <v>0</v>
      </c>
      <c r="F1390" s="2">
        <v>0</v>
      </c>
      <c r="I1390" s="1">
        <f>+COUNTIF(F$3:$F1390,F1390)</f>
        <v>430</v>
      </c>
      <c r="K1390" s="132" t="str">
        <f t="shared" si="105"/>
        <v>평일</v>
      </c>
    </row>
    <row r="1391" spans="1:11" ht="21.75" customHeight="1" x14ac:dyDescent="0.25">
      <c r="A1391" s="2">
        <f t="shared" si="102"/>
        <v>2024</v>
      </c>
      <c r="B1391" s="2">
        <f t="shared" si="103"/>
        <v>7</v>
      </c>
      <c r="C1391" s="2" t="str">
        <f t="shared" si="104"/>
        <v>토</v>
      </c>
      <c r="D1391" s="3">
        <v>45500</v>
      </c>
      <c r="E1391" s="7">
        <v>0</v>
      </c>
      <c r="F1391" s="2">
        <v>0</v>
      </c>
      <c r="I1391" s="1">
        <f>+COUNTIF(F$3:$F1391,F1391)</f>
        <v>431</v>
      </c>
      <c r="K1391" s="132" t="str">
        <f t="shared" si="105"/>
        <v>주말</v>
      </c>
    </row>
    <row r="1392" spans="1:11" ht="21.75" customHeight="1" x14ac:dyDescent="0.25">
      <c r="A1392" s="2">
        <f t="shared" si="102"/>
        <v>2024</v>
      </c>
      <c r="B1392" s="2">
        <f t="shared" si="103"/>
        <v>7</v>
      </c>
      <c r="C1392" s="2" t="str">
        <f t="shared" si="104"/>
        <v>일</v>
      </c>
      <c r="D1392" s="3">
        <v>45501</v>
      </c>
      <c r="E1392" s="7">
        <v>0</v>
      </c>
      <c r="F1392" s="2">
        <v>0</v>
      </c>
      <c r="I1392" s="1">
        <f>+COUNTIF(F$3:$F1392,F1392)</f>
        <v>432</v>
      </c>
      <c r="K1392" s="132" t="str">
        <f t="shared" si="105"/>
        <v>주말</v>
      </c>
    </row>
    <row r="1393" spans="1:11" ht="21.75" customHeight="1" x14ac:dyDescent="0.25">
      <c r="A1393" s="2">
        <f t="shared" si="102"/>
        <v>2024</v>
      </c>
      <c r="B1393" s="2">
        <f t="shared" si="103"/>
        <v>7</v>
      </c>
      <c r="C1393" s="2" t="str">
        <f t="shared" si="104"/>
        <v>월</v>
      </c>
      <c r="D1393" s="3">
        <v>45502</v>
      </c>
      <c r="E1393" s="7">
        <v>0</v>
      </c>
      <c r="F1393" s="2">
        <v>0</v>
      </c>
      <c r="I1393" s="1">
        <f>+COUNTIF(F$3:$F1393,F1393)</f>
        <v>433</v>
      </c>
      <c r="K1393" s="132" t="str">
        <f t="shared" si="105"/>
        <v>평일</v>
      </c>
    </row>
    <row r="1394" spans="1:11" ht="21.75" customHeight="1" x14ac:dyDescent="0.25">
      <c r="A1394" s="2">
        <f t="shared" si="102"/>
        <v>2024</v>
      </c>
      <c r="B1394" s="2">
        <f t="shared" si="103"/>
        <v>7</v>
      </c>
      <c r="C1394" s="2" t="str">
        <f t="shared" si="104"/>
        <v>화</v>
      </c>
      <c r="D1394" s="3">
        <v>45503</v>
      </c>
      <c r="E1394" s="7">
        <v>0</v>
      </c>
      <c r="F1394" s="2">
        <v>0</v>
      </c>
      <c r="I1394" s="1">
        <f>+COUNTIF(F$3:$F1394,F1394)</f>
        <v>434</v>
      </c>
      <c r="K1394" s="132" t="str">
        <f t="shared" si="105"/>
        <v>평일</v>
      </c>
    </row>
    <row r="1395" spans="1:11" ht="21.75" customHeight="1" x14ac:dyDescent="0.25">
      <c r="A1395" s="2">
        <f t="shared" si="102"/>
        <v>2024</v>
      </c>
      <c r="B1395" s="2">
        <f t="shared" si="103"/>
        <v>7</v>
      </c>
      <c r="C1395" s="2" t="str">
        <f t="shared" si="104"/>
        <v>수</v>
      </c>
      <c r="D1395" s="3">
        <v>45504</v>
      </c>
      <c r="E1395" s="7">
        <v>0</v>
      </c>
      <c r="F1395" s="2">
        <v>0</v>
      </c>
      <c r="I1395" s="1">
        <f>+COUNTIF(F$3:$F1395,F1395)</f>
        <v>435</v>
      </c>
      <c r="K1395" s="132" t="str">
        <f t="shared" si="105"/>
        <v>평일</v>
      </c>
    </row>
    <row r="1396" spans="1:11" ht="21.75" customHeight="1" x14ac:dyDescent="0.25">
      <c r="A1396" s="2">
        <f t="shared" si="102"/>
        <v>2024</v>
      </c>
      <c r="B1396" s="2">
        <f t="shared" si="103"/>
        <v>8</v>
      </c>
      <c r="C1396" s="2" t="str">
        <f t="shared" si="104"/>
        <v>목</v>
      </c>
      <c r="D1396" s="3">
        <v>45505</v>
      </c>
      <c r="E1396" s="7">
        <v>0</v>
      </c>
      <c r="F1396" s="2">
        <v>0</v>
      </c>
      <c r="I1396" s="1">
        <f>+COUNTIF(F$3:$F1396,F1396)</f>
        <v>436</v>
      </c>
      <c r="K1396" s="132" t="str">
        <f t="shared" si="105"/>
        <v>평일</v>
      </c>
    </row>
    <row r="1397" spans="1:11" ht="21.75" customHeight="1" x14ac:dyDescent="0.25">
      <c r="A1397" s="2">
        <f t="shared" si="102"/>
        <v>2024</v>
      </c>
      <c r="B1397" s="2">
        <f t="shared" si="103"/>
        <v>8</v>
      </c>
      <c r="C1397" s="2" t="str">
        <f t="shared" si="104"/>
        <v>금</v>
      </c>
      <c r="D1397" s="3">
        <v>45506</v>
      </c>
      <c r="E1397" s="7">
        <v>0</v>
      </c>
      <c r="F1397" s="2">
        <v>0</v>
      </c>
      <c r="I1397" s="1">
        <f>+COUNTIF(F$3:$F1397,F1397)</f>
        <v>437</v>
      </c>
      <c r="K1397" s="132" t="str">
        <f t="shared" si="105"/>
        <v>평일</v>
      </c>
    </row>
    <row r="1398" spans="1:11" ht="21.75" customHeight="1" x14ac:dyDescent="0.25">
      <c r="A1398" s="2">
        <f t="shared" si="102"/>
        <v>2024</v>
      </c>
      <c r="B1398" s="2">
        <f t="shared" si="103"/>
        <v>8</v>
      </c>
      <c r="C1398" s="2" t="str">
        <f t="shared" si="104"/>
        <v>토</v>
      </c>
      <c r="D1398" s="3">
        <v>45507</v>
      </c>
      <c r="E1398" s="7">
        <v>0</v>
      </c>
      <c r="F1398" s="2">
        <v>0</v>
      </c>
      <c r="I1398" s="1">
        <f>+COUNTIF(F$3:$F1398,F1398)</f>
        <v>438</v>
      </c>
      <c r="K1398" s="132" t="str">
        <f t="shared" si="105"/>
        <v>주말</v>
      </c>
    </row>
    <row r="1399" spans="1:11" ht="21.75" customHeight="1" x14ac:dyDescent="0.25">
      <c r="A1399" s="2">
        <f t="shared" si="102"/>
        <v>2024</v>
      </c>
      <c r="B1399" s="2">
        <f t="shared" si="103"/>
        <v>8</v>
      </c>
      <c r="C1399" s="2" t="str">
        <f t="shared" si="104"/>
        <v>일</v>
      </c>
      <c r="D1399" s="3">
        <v>45508</v>
      </c>
      <c r="E1399" s="7">
        <v>0</v>
      </c>
      <c r="F1399" s="2">
        <v>0</v>
      </c>
      <c r="I1399" s="1">
        <f>+COUNTIF(F$3:$F1399,F1399)</f>
        <v>439</v>
      </c>
      <c r="K1399" s="132" t="str">
        <f t="shared" si="105"/>
        <v>주말</v>
      </c>
    </row>
    <row r="1400" spans="1:11" ht="21.75" customHeight="1" x14ac:dyDescent="0.25">
      <c r="A1400" s="2">
        <f t="shared" si="102"/>
        <v>2024</v>
      </c>
      <c r="B1400" s="2">
        <f t="shared" si="103"/>
        <v>8</v>
      </c>
      <c r="C1400" s="2" t="str">
        <f t="shared" si="104"/>
        <v>월</v>
      </c>
      <c r="D1400" s="3">
        <v>45509</v>
      </c>
      <c r="E1400" s="7">
        <v>0</v>
      </c>
      <c r="F1400" s="2">
        <v>0</v>
      </c>
      <c r="I1400" s="1">
        <f>+COUNTIF(F$3:$F1400,F1400)</f>
        <v>440</v>
      </c>
      <c r="K1400" s="132" t="str">
        <f t="shared" si="105"/>
        <v>평일</v>
      </c>
    </row>
    <row r="1401" spans="1:11" ht="21.75" customHeight="1" x14ac:dyDescent="0.25">
      <c r="A1401" s="2">
        <f t="shared" si="102"/>
        <v>2024</v>
      </c>
      <c r="B1401" s="2">
        <f t="shared" si="103"/>
        <v>8</v>
      </c>
      <c r="C1401" s="2" t="str">
        <f t="shared" si="104"/>
        <v>화</v>
      </c>
      <c r="D1401" s="3">
        <v>45510</v>
      </c>
      <c r="E1401" s="7">
        <v>0</v>
      </c>
      <c r="F1401" s="2">
        <v>0</v>
      </c>
      <c r="I1401" s="1">
        <f>+COUNTIF(F$3:$F1401,F1401)</f>
        <v>441</v>
      </c>
      <c r="K1401" s="132" t="str">
        <f t="shared" si="105"/>
        <v>평일</v>
      </c>
    </row>
    <row r="1402" spans="1:11" ht="21.75" customHeight="1" x14ac:dyDescent="0.25">
      <c r="A1402" s="2">
        <f t="shared" si="102"/>
        <v>2024</v>
      </c>
      <c r="B1402" s="2">
        <f t="shared" si="103"/>
        <v>8</v>
      </c>
      <c r="C1402" s="2" t="str">
        <f t="shared" si="104"/>
        <v>수</v>
      </c>
      <c r="D1402" s="3">
        <v>45511</v>
      </c>
      <c r="E1402" s="7">
        <v>0</v>
      </c>
      <c r="F1402" s="2">
        <v>0</v>
      </c>
      <c r="I1402" s="1">
        <f>+COUNTIF(F$3:$F1402,F1402)</f>
        <v>442</v>
      </c>
      <c r="K1402" s="132" t="str">
        <f t="shared" si="105"/>
        <v>평일</v>
      </c>
    </row>
    <row r="1403" spans="1:11" ht="21.75" customHeight="1" x14ac:dyDescent="0.25">
      <c r="A1403" s="2">
        <f t="shared" si="102"/>
        <v>2024</v>
      </c>
      <c r="B1403" s="2">
        <f t="shared" si="103"/>
        <v>8</v>
      </c>
      <c r="C1403" s="2" t="str">
        <f t="shared" si="104"/>
        <v>목</v>
      </c>
      <c r="D1403" s="3">
        <v>45512</v>
      </c>
      <c r="E1403" s="7">
        <v>0</v>
      </c>
      <c r="F1403" s="2">
        <v>0</v>
      </c>
      <c r="I1403" s="1">
        <f>+COUNTIF(F$3:$F1403,F1403)</f>
        <v>443</v>
      </c>
      <c r="K1403" s="132" t="str">
        <f t="shared" si="105"/>
        <v>평일</v>
      </c>
    </row>
    <row r="1404" spans="1:11" ht="21.75" customHeight="1" x14ac:dyDescent="0.25">
      <c r="A1404" s="2">
        <f t="shared" si="102"/>
        <v>2024</v>
      </c>
      <c r="B1404" s="2">
        <f t="shared" si="103"/>
        <v>8</v>
      </c>
      <c r="C1404" s="2" t="str">
        <f t="shared" si="104"/>
        <v>금</v>
      </c>
      <c r="D1404" s="3">
        <v>45513</v>
      </c>
      <c r="E1404" s="7">
        <v>0</v>
      </c>
      <c r="F1404" s="2">
        <v>0</v>
      </c>
      <c r="I1404" s="1">
        <f>+COUNTIF(F$3:$F1404,F1404)</f>
        <v>444</v>
      </c>
      <c r="K1404" s="132" t="str">
        <f t="shared" si="105"/>
        <v>평일</v>
      </c>
    </row>
    <row r="1405" spans="1:11" ht="21.75" customHeight="1" x14ac:dyDescent="0.25">
      <c r="A1405" s="2">
        <f t="shared" si="102"/>
        <v>2024</v>
      </c>
      <c r="B1405" s="2">
        <f t="shared" si="103"/>
        <v>8</v>
      </c>
      <c r="C1405" s="2" t="str">
        <f t="shared" si="104"/>
        <v>토</v>
      </c>
      <c r="D1405" s="3">
        <v>45514</v>
      </c>
      <c r="E1405" s="7">
        <v>0</v>
      </c>
      <c r="F1405" s="2">
        <v>0</v>
      </c>
      <c r="I1405" s="1">
        <f>+COUNTIF(F$3:$F1405,F1405)</f>
        <v>445</v>
      </c>
      <c r="K1405" s="132" t="str">
        <f t="shared" si="105"/>
        <v>주말</v>
      </c>
    </row>
    <row r="1406" spans="1:11" ht="21.75" customHeight="1" x14ac:dyDescent="0.25">
      <c r="A1406" s="2">
        <f t="shared" si="102"/>
        <v>2024</v>
      </c>
      <c r="B1406" s="2">
        <f t="shared" si="103"/>
        <v>8</v>
      </c>
      <c r="C1406" s="2" t="str">
        <f t="shared" si="104"/>
        <v>일</v>
      </c>
      <c r="D1406" s="3">
        <v>45515</v>
      </c>
      <c r="E1406" s="7">
        <v>0</v>
      </c>
      <c r="F1406" s="2">
        <v>0</v>
      </c>
      <c r="I1406" s="1">
        <f>+COUNTIF(F$3:$F1406,F1406)</f>
        <v>446</v>
      </c>
      <c r="K1406" s="132" t="str">
        <f t="shared" si="105"/>
        <v>주말</v>
      </c>
    </row>
    <row r="1407" spans="1:11" ht="21.75" customHeight="1" x14ac:dyDescent="0.25">
      <c r="A1407" s="2">
        <f t="shared" si="102"/>
        <v>2024</v>
      </c>
      <c r="B1407" s="2">
        <f t="shared" si="103"/>
        <v>8</v>
      </c>
      <c r="C1407" s="2" t="str">
        <f t="shared" si="104"/>
        <v>월</v>
      </c>
      <c r="D1407" s="3">
        <v>45516</v>
      </c>
      <c r="E1407" s="7">
        <v>0</v>
      </c>
      <c r="F1407" s="2">
        <v>0</v>
      </c>
      <c r="I1407" s="1">
        <f>+COUNTIF(F$3:$F1407,F1407)</f>
        <v>447</v>
      </c>
      <c r="K1407" s="132" t="str">
        <f t="shared" si="105"/>
        <v>평일</v>
      </c>
    </row>
    <row r="1408" spans="1:11" ht="21.75" customHeight="1" x14ac:dyDescent="0.25">
      <c r="A1408" s="2">
        <f t="shared" si="102"/>
        <v>2024</v>
      </c>
      <c r="B1408" s="2">
        <f t="shared" si="103"/>
        <v>8</v>
      </c>
      <c r="C1408" s="2" t="str">
        <f t="shared" si="104"/>
        <v>화</v>
      </c>
      <c r="D1408" s="3">
        <v>45517</v>
      </c>
      <c r="E1408" s="7">
        <v>0</v>
      </c>
      <c r="F1408" s="2">
        <v>0</v>
      </c>
      <c r="I1408" s="1">
        <f>+COUNTIF(F$3:$F1408,F1408)</f>
        <v>448</v>
      </c>
      <c r="K1408" s="132" t="str">
        <f t="shared" si="105"/>
        <v>평일</v>
      </c>
    </row>
    <row r="1409" spans="1:11" ht="21.75" customHeight="1" x14ac:dyDescent="0.25">
      <c r="A1409" s="2">
        <f t="shared" si="102"/>
        <v>2024</v>
      </c>
      <c r="B1409" s="2">
        <f t="shared" si="103"/>
        <v>8</v>
      </c>
      <c r="C1409" s="2" t="str">
        <f t="shared" si="104"/>
        <v>수</v>
      </c>
      <c r="D1409" s="3">
        <v>45518</v>
      </c>
      <c r="E1409" s="7">
        <v>0</v>
      </c>
      <c r="F1409" s="2">
        <v>0</v>
      </c>
      <c r="I1409" s="1">
        <f>+COUNTIF(F$3:$F1409,F1409)</f>
        <v>449</v>
      </c>
      <c r="K1409" s="132" t="str">
        <f t="shared" si="105"/>
        <v>평일</v>
      </c>
    </row>
    <row r="1410" spans="1:11" ht="21.75" customHeight="1" x14ac:dyDescent="0.25">
      <c r="A1410" s="2">
        <f t="shared" si="102"/>
        <v>2024</v>
      </c>
      <c r="B1410" s="2">
        <f t="shared" si="103"/>
        <v>8</v>
      </c>
      <c r="C1410" s="2" t="str">
        <f t="shared" si="104"/>
        <v>목</v>
      </c>
      <c r="D1410" s="3">
        <v>45519</v>
      </c>
      <c r="E1410" s="7">
        <v>0</v>
      </c>
      <c r="F1410" s="2">
        <v>0</v>
      </c>
      <c r="I1410" s="1">
        <f>+COUNTIF(F$3:$F1410,F1410)</f>
        <v>450</v>
      </c>
      <c r="K1410" s="132" t="str">
        <f t="shared" si="105"/>
        <v>평일</v>
      </c>
    </row>
    <row r="1411" spans="1:11" ht="21.75" customHeight="1" x14ac:dyDescent="0.25">
      <c r="A1411" s="2">
        <f t="shared" si="102"/>
        <v>2024</v>
      </c>
      <c r="B1411" s="2">
        <f t="shared" si="103"/>
        <v>8</v>
      </c>
      <c r="C1411" s="2" t="str">
        <f t="shared" si="104"/>
        <v>금</v>
      </c>
      <c r="D1411" s="3">
        <v>45520</v>
      </c>
      <c r="E1411" s="7">
        <v>0</v>
      </c>
      <c r="F1411" s="2">
        <v>0</v>
      </c>
      <c r="I1411" s="1">
        <f>+COUNTIF(F$3:$F1411,F1411)</f>
        <v>451</v>
      </c>
      <c r="K1411" s="132" t="str">
        <f t="shared" si="105"/>
        <v>평일</v>
      </c>
    </row>
    <row r="1412" spans="1:11" ht="21.75" customHeight="1" x14ac:dyDescent="0.25">
      <c r="A1412" s="2">
        <f t="shared" ref="A1412:A1475" si="106">+YEAR(D1412)</f>
        <v>2024</v>
      </c>
      <c r="B1412" s="2">
        <f t="shared" ref="B1412:B1475" si="107">+MONTH(D1412)</f>
        <v>8</v>
      </c>
      <c r="C1412" s="2" t="str">
        <f t="shared" ref="C1412:C1475" si="108">+TEXT(D1412,"aaa")</f>
        <v>토</v>
      </c>
      <c r="D1412" s="3">
        <v>45521</v>
      </c>
      <c r="E1412" s="7">
        <v>0</v>
      </c>
      <c r="F1412" s="2">
        <v>0</v>
      </c>
      <c r="I1412" s="1">
        <f>+COUNTIF(F$3:$F1412,F1412)</f>
        <v>452</v>
      </c>
      <c r="K1412" s="132" t="str">
        <f t="shared" ref="K1412:K1475" si="109">+IF(OR(C1412="토",C1412="일"),"주말","평일")</f>
        <v>주말</v>
      </c>
    </row>
    <row r="1413" spans="1:11" ht="21.75" customHeight="1" x14ac:dyDescent="0.25">
      <c r="A1413" s="2">
        <f t="shared" si="106"/>
        <v>2024</v>
      </c>
      <c r="B1413" s="2">
        <f t="shared" si="107"/>
        <v>8</v>
      </c>
      <c r="C1413" s="2" t="str">
        <f t="shared" si="108"/>
        <v>일</v>
      </c>
      <c r="D1413" s="3">
        <v>45522</v>
      </c>
      <c r="E1413" s="7">
        <v>0</v>
      </c>
      <c r="F1413" s="2">
        <v>0</v>
      </c>
      <c r="I1413" s="1">
        <f>+COUNTIF(F$3:$F1413,F1413)</f>
        <v>453</v>
      </c>
      <c r="K1413" s="132" t="str">
        <f t="shared" si="109"/>
        <v>주말</v>
      </c>
    </row>
    <row r="1414" spans="1:11" ht="21.75" customHeight="1" x14ac:dyDescent="0.25">
      <c r="A1414" s="2">
        <f t="shared" si="106"/>
        <v>2024</v>
      </c>
      <c r="B1414" s="2">
        <f t="shared" si="107"/>
        <v>8</v>
      </c>
      <c r="C1414" s="2" t="str">
        <f t="shared" si="108"/>
        <v>월</v>
      </c>
      <c r="D1414" s="3">
        <v>45523</v>
      </c>
      <c r="E1414" s="7">
        <v>0</v>
      </c>
      <c r="F1414" s="2">
        <v>0</v>
      </c>
      <c r="I1414" s="1">
        <f>+COUNTIF(F$3:$F1414,F1414)</f>
        <v>454</v>
      </c>
      <c r="K1414" s="132" t="str">
        <f t="shared" si="109"/>
        <v>평일</v>
      </c>
    </row>
    <row r="1415" spans="1:11" ht="21.75" customHeight="1" x14ac:dyDescent="0.25">
      <c r="A1415" s="2">
        <f t="shared" si="106"/>
        <v>2024</v>
      </c>
      <c r="B1415" s="2">
        <f t="shared" si="107"/>
        <v>8</v>
      </c>
      <c r="C1415" s="2" t="str">
        <f t="shared" si="108"/>
        <v>화</v>
      </c>
      <c r="D1415" s="3">
        <v>45524</v>
      </c>
      <c r="E1415" s="7">
        <v>0</v>
      </c>
      <c r="F1415" s="2">
        <v>0</v>
      </c>
      <c r="I1415" s="1">
        <f>+COUNTIF(F$3:$F1415,F1415)</f>
        <v>455</v>
      </c>
      <c r="K1415" s="132" t="str">
        <f t="shared" si="109"/>
        <v>평일</v>
      </c>
    </row>
    <row r="1416" spans="1:11" ht="21.75" customHeight="1" x14ac:dyDescent="0.25">
      <c r="A1416" s="2">
        <f t="shared" si="106"/>
        <v>2024</v>
      </c>
      <c r="B1416" s="2">
        <f t="shared" si="107"/>
        <v>8</v>
      </c>
      <c r="C1416" s="2" t="str">
        <f t="shared" si="108"/>
        <v>수</v>
      </c>
      <c r="D1416" s="3">
        <v>45525</v>
      </c>
      <c r="E1416" s="7">
        <v>0</v>
      </c>
      <c r="F1416" s="2">
        <v>0</v>
      </c>
      <c r="I1416" s="1">
        <f>+COUNTIF(F$3:$F1416,F1416)</f>
        <v>456</v>
      </c>
      <c r="K1416" s="132" t="str">
        <f t="shared" si="109"/>
        <v>평일</v>
      </c>
    </row>
    <row r="1417" spans="1:11" ht="21.75" customHeight="1" x14ac:dyDescent="0.25">
      <c r="A1417" s="2">
        <f t="shared" si="106"/>
        <v>2024</v>
      </c>
      <c r="B1417" s="2">
        <f t="shared" si="107"/>
        <v>8</v>
      </c>
      <c r="C1417" s="2" t="str">
        <f t="shared" si="108"/>
        <v>목</v>
      </c>
      <c r="D1417" s="3">
        <v>45526</v>
      </c>
      <c r="E1417" s="7">
        <v>0</v>
      </c>
      <c r="F1417" s="2">
        <v>0</v>
      </c>
      <c r="I1417" s="1">
        <f>+COUNTIF(F$3:$F1417,F1417)</f>
        <v>457</v>
      </c>
      <c r="K1417" s="132" t="str">
        <f t="shared" si="109"/>
        <v>평일</v>
      </c>
    </row>
    <row r="1418" spans="1:11" ht="21.75" customHeight="1" x14ac:dyDescent="0.25">
      <c r="A1418" s="2">
        <f t="shared" si="106"/>
        <v>2024</v>
      </c>
      <c r="B1418" s="2">
        <f t="shared" si="107"/>
        <v>8</v>
      </c>
      <c r="C1418" s="2" t="str">
        <f t="shared" si="108"/>
        <v>금</v>
      </c>
      <c r="D1418" s="3">
        <v>45527</v>
      </c>
      <c r="E1418" s="7">
        <v>0</v>
      </c>
      <c r="F1418" s="2">
        <v>0</v>
      </c>
      <c r="I1418" s="1">
        <f>+COUNTIF(F$3:$F1418,F1418)</f>
        <v>458</v>
      </c>
      <c r="K1418" s="132" t="str">
        <f t="shared" si="109"/>
        <v>평일</v>
      </c>
    </row>
    <row r="1419" spans="1:11" ht="21.75" customHeight="1" x14ac:dyDescent="0.25">
      <c r="A1419" s="2">
        <f t="shared" si="106"/>
        <v>2024</v>
      </c>
      <c r="B1419" s="2">
        <f t="shared" si="107"/>
        <v>8</v>
      </c>
      <c r="C1419" s="2" t="str">
        <f t="shared" si="108"/>
        <v>토</v>
      </c>
      <c r="D1419" s="3">
        <v>45528</v>
      </c>
      <c r="E1419" s="7">
        <v>0</v>
      </c>
      <c r="F1419" s="2">
        <v>0</v>
      </c>
      <c r="I1419" s="1">
        <f>+COUNTIF(F$3:$F1419,F1419)</f>
        <v>459</v>
      </c>
      <c r="K1419" s="132" t="str">
        <f t="shared" si="109"/>
        <v>주말</v>
      </c>
    </row>
    <row r="1420" spans="1:11" ht="21.75" customHeight="1" x14ac:dyDescent="0.25">
      <c r="A1420" s="2">
        <f t="shared" si="106"/>
        <v>2024</v>
      </c>
      <c r="B1420" s="2">
        <f t="shared" si="107"/>
        <v>8</v>
      </c>
      <c r="C1420" s="2" t="str">
        <f t="shared" si="108"/>
        <v>일</v>
      </c>
      <c r="D1420" s="3">
        <v>45529</v>
      </c>
      <c r="E1420" s="7">
        <v>0</v>
      </c>
      <c r="F1420" s="2">
        <v>0</v>
      </c>
      <c r="I1420" s="1">
        <f>+COUNTIF(F$3:$F1420,F1420)</f>
        <v>460</v>
      </c>
      <c r="K1420" s="132" t="str">
        <f t="shared" si="109"/>
        <v>주말</v>
      </c>
    </row>
    <row r="1421" spans="1:11" ht="21.75" customHeight="1" x14ac:dyDescent="0.25">
      <c r="A1421" s="2">
        <f t="shared" si="106"/>
        <v>2024</v>
      </c>
      <c r="B1421" s="2">
        <f t="shared" si="107"/>
        <v>8</v>
      </c>
      <c r="C1421" s="2" t="str">
        <f t="shared" si="108"/>
        <v>월</v>
      </c>
      <c r="D1421" s="3">
        <v>45530</v>
      </c>
      <c r="E1421" s="7">
        <v>0</v>
      </c>
      <c r="F1421" s="2">
        <v>0</v>
      </c>
      <c r="I1421" s="1">
        <f>+COUNTIF(F$3:$F1421,F1421)</f>
        <v>461</v>
      </c>
      <c r="K1421" s="132" t="str">
        <f t="shared" si="109"/>
        <v>평일</v>
      </c>
    </row>
    <row r="1422" spans="1:11" ht="21.75" customHeight="1" x14ac:dyDescent="0.25">
      <c r="A1422" s="2">
        <f t="shared" si="106"/>
        <v>2024</v>
      </c>
      <c r="B1422" s="2">
        <f t="shared" si="107"/>
        <v>8</v>
      </c>
      <c r="C1422" s="2" t="str">
        <f t="shared" si="108"/>
        <v>화</v>
      </c>
      <c r="D1422" s="3">
        <v>45531</v>
      </c>
      <c r="E1422" s="7">
        <v>0</v>
      </c>
      <c r="F1422" s="2">
        <v>0</v>
      </c>
      <c r="I1422" s="1">
        <f>+COUNTIF(F$3:$F1422,F1422)</f>
        <v>462</v>
      </c>
      <c r="K1422" s="132" t="str">
        <f t="shared" si="109"/>
        <v>평일</v>
      </c>
    </row>
    <row r="1423" spans="1:11" ht="21.75" customHeight="1" x14ac:dyDescent="0.25">
      <c r="A1423" s="2">
        <f t="shared" si="106"/>
        <v>2024</v>
      </c>
      <c r="B1423" s="2">
        <f t="shared" si="107"/>
        <v>8</v>
      </c>
      <c r="C1423" s="2" t="str">
        <f t="shared" si="108"/>
        <v>수</v>
      </c>
      <c r="D1423" s="3">
        <v>45532</v>
      </c>
      <c r="E1423" s="7">
        <v>0</v>
      </c>
      <c r="F1423" s="2">
        <v>0</v>
      </c>
      <c r="I1423" s="1">
        <f>+COUNTIF(F$3:$F1423,F1423)</f>
        <v>463</v>
      </c>
      <c r="K1423" s="132" t="str">
        <f t="shared" si="109"/>
        <v>평일</v>
      </c>
    </row>
    <row r="1424" spans="1:11" ht="21.75" customHeight="1" x14ac:dyDescent="0.25">
      <c r="A1424" s="2">
        <f t="shared" si="106"/>
        <v>2024</v>
      </c>
      <c r="B1424" s="2">
        <f t="shared" si="107"/>
        <v>8</v>
      </c>
      <c r="C1424" s="2" t="str">
        <f t="shared" si="108"/>
        <v>목</v>
      </c>
      <c r="D1424" s="3">
        <v>45533</v>
      </c>
      <c r="E1424" s="7">
        <v>0</v>
      </c>
      <c r="F1424" s="2">
        <v>0</v>
      </c>
      <c r="I1424" s="1">
        <f>+COUNTIF(F$3:$F1424,F1424)</f>
        <v>464</v>
      </c>
      <c r="K1424" s="132" t="str">
        <f t="shared" si="109"/>
        <v>평일</v>
      </c>
    </row>
    <row r="1425" spans="1:11" ht="21.75" customHeight="1" x14ac:dyDescent="0.25">
      <c r="A1425" s="2">
        <f t="shared" si="106"/>
        <v>2024</v>
      </c>
      <c r="B1425" s="2">
        <f t="shared" si="107"/>
        <v>8</v>
      </c>
      <c r="C1425" s="2" t="str">
        <f t="shared" si="108"/>
        <v>금</v>
      </c>
      <c r="D1425" s="3">
        <v>45534</v>
      </c>
      <c r="E1425" s="7">
        <v>0</v>
      </c>
      <c r="F1425" s="2">
        <v>0</v>
      </c>
      <c r="I1425" s="1">
        <f>+COUNTIF(F$3:$F1425,F1425)</f>
        <v>465</v>
      </c>
      <c r="K1425" s="132" t="str">
        <f t="shared" si="109"/>
        <v>평일</v>
      </c>
    </row>
    <row r="1426" spans="1:11" ht="21.75" customHeight="1" x14ac:dyDescent="0.25">
      <c r="A1426" s="2">
        <f t="shared" si="106"/>
        <v>2024</v>
      </c>
      <c r="B1426" s="2">
        <f t="shared" si="107"/>
        <v>8</v>
      </c>
      <c r="C1426" s="2" t="str">
        <f t="shared" si="108"/>
        <v>토</v>
      </c>
      <c r="D1426" s="3">
        <v>45535</v>
      </c>
      <c r="E1426" s="7">
        <v>0</v>
      </c>
      <c r="F1426" s="2">
        <v>0</v>
      </c>
      <c r="I1426" s="1">
        <f>+COUNTIF(F$3:$F1426,F1426)</f>
        <v>466</v>
      </c>
      <c r="K1426" s="132" t="str">
        <f t="shared" si="109"/>
        <v>주말</v>
      </c>
    </row>
    <row r="1427" spans="1:11" ht="21.75" customHeight="1" x14ac:dyDescent="0.25">
      <c r="A1427" s="2">
        <f t="shared" si="106"/>
        <v>2024</v>
      </c>
      <c r="B1427" s="2">
        <f t="shared" si="107"/>
        <v>9</v>
      </c>
      <c r="C1427" s="2" t="str">
        <f t="shared" si="108"/>
        <v>일</v>
      </c>
      <c r="D1427" s="3">
        <v>45536</v>
      </c>
      <c r="E1427" s="7">
        <v>0</v>
      </c>
      <c r="F1427" s="2">
        <v>0</v>
      </c>
      <c r="I1427" s="1">
        <f>+COUNTIF(F$3:$F1427,F1427)</f>
        <v>467</v>
      </c>
      <c r="K1427" s="132" t="str">
        <f t="shared" si="109"/>
        <v>주말</v>
      </c>
    </row>
    <row r="1428" spans="1:11" ht="21.75" customHeight="1" x14ac:dyDescent="0.25">
      <c r="A1428" s="2">
        <f t="shared" si="106"/>
        <v>2024</v>
      </c>
      <c r="B1428" s="2">
        <f t="shared" si="107"/>
        <v>9</v>
      </c>
      <c r="C1428" s="2" t="str">
        <f t="shared" si="108"/>
        <v>월</v>
      </c>
      <c r="D1428" s="3">
        <v>45537</v>
      </c>
      <c r="E1428" s="7">
        <v>0</v>
      </c>
      <c r="F1428" s="2">
        <v>0</v>
      </c>
      <c r="I1428" s="1">
        <f>+COUNTIF(F$3:$F1428,F1428)</f>
        <v>468</v>
      </c>
      <c r="K1428" s="132" t="str">
        <f t="shared" si="109"/>
        <v>평일</v>
      </c>
    </row>
    <row r="1429" spans="1:11" ht="21.75" customHeight="1" x14ac:dyDescent="0.25">
      <c r="A1429" s="2">
        <f t="shared" si="106"/>
        <v>2024</v>
      </c>
      <c r="B1429" s="2">
        <f t="shared" si="107"/>
        <v>9</v>
      </c>
      <c r="C1429" s="2" t="str">
        <f t="shared" si="108"/>
        <v>화</v>
      </c>
      <c r="D1429" s="3">
        <v>45538</v>
      </c>
      <c r="E1429" s="7">
        <v>0</v>
      </c>
      <c r="F1429" s="2">
        <v>0</v>
      </c>
      <c r="I1429" s="1">
        <f>+COUNTIF(F$3:$F1429,F1429)</f>
        <v>469</v>
      </c>
      <c r="K1429" s="132" t="str">
        <f t="shared" si="109"/>
        <v>평일</v>
      </c>
    </row>
    <row r="1430" spans="1:11" ht="21.75" customHeight="1" x14ac:dyDescent="0.25">
      <c r="A1430" s="2">
        <f t="shared" si="106"/>
        <v>2024</v>
      </c>
      <c r="B1430" s="2">
        <f t="shared" si="107"/>
        <v>9</v>
      </c>
      <c r="C1430" s="2" t="str">
        <f t="shared" si="108"/>
        <v>수</v>
      </c>
      <c r="D1430" s="3">
        <v>45539</v>
      </c>
      <c r="E1430" s="7">
        <v>0</v>
      </c>
      <c r="F1430" s="2">
        <v>0</v>
      </c>
      <c r="I1430" s="1">
        <f>+COUNTIF(F$3:$F1430,F1430)</f>
        <v>470</v>
      </c>
      <c r="K1430" s="132" t="str">
        <f t="shared" si="109"/>
        <v>평일</v>
      </c>
    </row>
    <row r="1431" spans="1:11" ht="21.75" customHeight="1" x14ac:dyDescent="0.25">
      <c r="A1431" s="2">
        <f t="shared" si="106"/>
        <v>2024</v>
      </c>
      <c r="B1431" s="2">
        <f t="shared" si="107"/>
        <v>9</v>
      </c>
      <c r="C1431" s="2" t="str">
        <f t="shared" si="108"/>
        <v>목</v>
      </c>
      <c r="D1431" s="3">
        <v>45540</v>
      </c>
      <c r="E1431" s="7">
        <v>0</v>
      </c>
      <c r="F1431" s="2">
        <v>0</v>
      </c>
      <c r="I1431" s="1">
        <f>+COUNTIF(F$3:$F1431,F1431)</f>
        <v>471</v>
      </c>
      <c r="K1431" s="132" t="str">
        <f t="shared" si="109"/>
        <v>평일</v>
      </c>
    </row>
    <row r="1432" spans="1:11" ht="21.75" customHeight="1" x14ac:dyDescent="0.25">
      <c r="A1432" s="2">
        <f t="shared" si="106"/>
        <v>2024</v>
      </c>
      <c r="B1432" s="2">
        <f t="shared" si="107"/>
        <v>9</v>
      </c>
      <c r="C1432" s="2" t="str">
        <f t="shared" si="108"/>
        <v>금</v>
      </c>
      <c r="D1432" s="3">
        <v>45541</v>
      </c>
      <c r="E1432" s="7">
        <v>0</v>
      </c>
      <c r="F1432" s="2">
        <v>0</v>
      </c>
      <c r="I1432" s="1">
        <f>+COUNTIF(F$3:$F1432,F1432)</f>
        <v>472</v>
      </c>
      <c r="K1432" s="132" t="str">
        <f t="shared" si="109"/>
        <v>평일</v>
      </c>
    </row>
    <row r="1433" spans="1:11" ht="21.75" customHeight="1" x14ac:dyDescent="0.25">
      <c r="A1433" s="2">
        <f t="shared" si="106"/>
        <v>2024</v>
      </c>
      <c r="B1433" s="2">
        <f t="shared" si="107"/>
        <v>9</v>
      </c>
      <c r="C1433" s="2" t="str">
        <f t="shared" si="108"/>
        <v>토</v>
      </c>
      <c r="D1433" s="3">
        <v>45542</v>
      </c>
      <c r="E1433" s="7">
        <v>0</v>
      </c>
      <c r="F1433" s="2">
        <v>0</v>
      </c>
      <c r="I1433" s="1">
        <f>+COUNTIF(F$3:$F1433,F1433)</f>
        <v>473</v>
      </c>
      <c r="K1433" s="132" t="str">
        <f t="shared" si="109"/>
        <v>주말</v>
      </c>
    </row>
    <row r="1434" spans="1:11" ht="21.75" customHeight="1" x14ac:dyDescent="0.25">
      <c r="A1434" s="2">
        <f t="shared" si="106"/>
        <v>2024</v>
      </c>
      <c r="B1434" s="2">
        <f t="shared" si="107"/>
        <v>9</v>
      </c>
      <c r="C1434" s="2" t="str">
        <f t="shared" si="108"/>
        <v>일</v>
      </c>
      <c r="D1434" s="3">
        <v>45543</v>
      </c>
      <c r="E1434" s="7">
        <v>0</v>
      </c>
      <c r="F1434" s="2">
        <v>0</v>
      </c>
      <c r="I1434" s="1">
        <f>+COUNTIF(F$3:$F1434,F1434)</f>
        <v>474</v>
      </c>
      <c r="K1434" s="132" t="str">
        <f t="shared" si="109"/>
        <v>주말</v>
      </c>
    </row>
    <row r="1435" spans="1:11" ht="21.75" customHeight="1" x14ac:dyDescent="0.25">
      <c r="A1435" s="2">
        <f t="shared" si="106"/>
        <v>2024</v>
      </c>
      <c r="B1435" s="2">
        <f t="shared" si="107"/>
        <v>9</v>
      </c>
      <c r="C1435" s="2" t="str">
        <f t="shared" si="108"/>
        <v>월</v>
      </c>
      <c r="D1435" s="3">
        <v>45544</v>
      </c>
      <c r="E1435" s="7">
        <v>0</v>
      </c>
      <c r="F1435" s="2">
        <v>0</v>
      </c>
      <c r="I1435" s="1">
        <f>+COUNTIF(F$3:$F1435,F1435)</f>
        <v>475</v>
      </c>
      <c r="K1435" s="132" t="str">
        <f t="shared" si="109"/>
        <v>평일</v>
      </c>
    </row>
    <row r="1436" spans="1:11" ht="21.75" customHeight="1" x14ac:dyDescent="0.25">
      <c r="A1436" s="2">
        <f t="shared" si="106"/>
        <v>2024</v>
      </c>
      <c r="B1436" s="2">
        <f t="shared" si="107"/>
        <v>9</v>
      </c>
      <c r="C1436" s="2" t="str">
        <f t="shared" si="108"/>
        <v>화</v>
      </c>
      <c r="D1436" s="3">
        <v>45545</v>
      </c>
      <c r="E1436" s="7">
        <v>0</v>
      </c>
      <c r="F1436" s="2">
        <v>0</v>
      </c>
      <c r="I1436" s="1">
        <f>+COUNTIF(F$3:$F1436,F1436)</f>
        <v>476</v>
      </c>
      <c r="K1436" s="132" t="str">
        <f t="shared" si="109"/>
        <v>평일</v>
      </c>
    </row>
    <row r="1437" spans="1:11" ht="21.75" customHeight="1" x14ac:dyDescent="0.25">
      <c r="A1437" s="2">
        <f t="shared" si="106"/>
        <v>2024</v>
      </c>
      <c r="B1437" s="2">
        <f t="shared" si="107"/>
        <v>9</v>
      </c>
      <c r="C1437" s="2" t="str">
        <f t="shared" si="108"/>
        <v>수</v>
      </c>
      <c r="D1437" s="3">
        <v>45546</v>
      </c>
      <c r="E1437" s="7">
        <v>0</v>
      </c>
      <c r="F1437" s="2">
        <v>0</v>
      </c>
      <c r="I1437" s="1">
        <f>+COUNTIF(F$3:$F1437,F1437)</f>
        <v>477</v>
      </c>
      <c r="K1437" s="132" t="str">
        <f t="shared" si="109"/>
        <v>평일</v>
      </c>
    </row>
    <row r="1438" spans="1:11" ht="21.75" customHeight="1" x14ac:dyDescent="0.25">
      <c r="A1438" s="2">
        <f t="shared" si="106"/>
        <v>2024</v>
      </c>
      <c r="B1438" s="2">
        <f t="shared" si="107"/>
        <v>9</v>
      </c>
      <c r="C1438" s="2" t="str">
        <f t="shared" si="108"/>
        <v>목</v>
      </c>
      <c r="D1438" s="3">
        <v>45547</v>
      </c>
      <c r="E1438" s="7">
        <v>0</v>
      </c>
      <c r="F1438" s="2">
        <v>0</v>
      </c>
      <c r="I1438" s="1">
        <f>+COUNTIF(F$3:$F1438,F1438)</f>
        <v>478</v>
      </c>
      <c r="K1438" s="132" t="str">
        <f t="shared" si="109"/>
        <v>평일</v>
      </c>
    </row>
    <row r="1439" spans="1:11" ht="21.75" customHeight="1" x14ac:dyDescent="0.25">
      <c r="A1439" s="2">
        <f t="shared" si="106"/>
        <v>2024</v>
      </c>
      <c r="B1439" s="2">
        <f t="shared" si="107"/>
        <v>9</v>
      </c>
      <c r="C1439" s="2" t="str">
        <f t="shared" si="108"/>
        <v>금</v>
      </c>
      <c r="D1439" s="3">
        <v>45548</v>
      </c>
      <c r="E1439" s="7">
        <v>0</v>
      </c>
      <c r="F1439" s="2">
        <v>0</v>
      </c>
      <c r="I1439" s="1">
        <f>+COUNTIF(F$3:$F1439,F1439)</f>
        <v>479</v>
      </c>
      <c r="K1439" s="132" t="str">
        <f t="shared" si="109"/>
        <v>평일</v>
      </c>
    </row>
    <row r="1440" spans="1:11" ht="21.75" customHeight="1" x14ac:dyDescent="0.25">
      <c r="A1440" s="2">
        <f t="shared" si="106"/>
        <v>2024</v>
      </c>
      <c r="B1440" s="2">
        <f t="shared" si="107"/>
        <v>9</v>
      </c>
      <c r="C1440" s="2" t="str">
        <f t="shared" si="108"/>
        <v>토</v>
      </c>
      <c r="D1440" s="3">
        <v>45549</v>
      </c>
      <c r="E1440" s="7">
        <v>0</v>
      </c>
      <c r="F1440" s="2">
        <v>0</v>
      </c>
      <c r="I1440" s="1">
        <f>+COUNTIF(F$3:$F1440,F1440)</f>
        <v>480</v>
      </c>
      <c r="K1440" s="132" t="str">
        <f t="shared" si="109"/>
        <v>주말</v>
      </c>
    </row>
    <row r="1441" spans="1:11" ht="21.75" customHeight="1" x14ac:dyDescent="0.25">
      <c r="A1441" s="2">
        <f t="shared" si="106"/>
        <v>2024</v>
      </c>
      <c r="B1441" s="2">
        <f t="shared" si="107"/>
        <v>9</v>
      </c>
      <c r="C1441" s="2" t="str">
        <f t="shared" si="108"/>
        <v>일</v>
      </c>
      <c r="D1441" s="3">
        <v>45550</v>
      </c>
      <c r="E1441" s="7">
        <v>0</v>
      </c>
      <c r="F1441" s="2">
        <v>0</v>
      </c>
      <c r="I1441" s="1">
        <f>+COUNTIF(F$3:$F1441,F1441)</f>
        <v>481</v>
      </c>
      <c r="K1441" s="132" t="str">
        <f t="shared" si="109"/>
        <v>주말</v>
      </c>
    </row>
    <row r="1442" spans="1:11" ht="21.75" customHeight="1" x14ac:dyDescent="0.25">
      <c r="A1442" s="2">
        <f t="shared" si="106"/>
        <v>2024</v>
      </c>
      <c r="B1442" s="2">
        <f t="shared" si="107"/>
        <v>9</v>
      </c>
      <c r="C1442" s="2" t="str">
        <f t="shared" si="108"/>
        <v>월</v>
      </c>
      <c r="D1442" s="3">
        <v>45551</v>
      </c>
      <c r="E1442" s="7">
        <v>0</v>
      </c>
      <c r="F1442" s="2">
        <v>0</v>
      </c>
      <c r="I1442" s="1">
        <f>+COUNTIF(F$3:$F1442,F1442)</f>
        <v>482</v>
      </c>
      <c r="K1442" s="132" t="str">
        <f t="shared" si="109"/>
        <v>평일</v>
      </c>
    </row>
    <row r="1443" spans="1:11" ht="21.75" customHeight="1" x14ac:dyDescent="0.25">
      <c r="A1443" s="2">
        <f t="shared" si="106"/>
        <v>2024</v>
      </c>
      <c r="B1443" s="2">
        <f t="shared" si="107"/>
        <v>9</v>
      </c>
      <c r="C1443" s="2" t="str">
        <f t="shared" si="108"/>
        <v>화</v>
      </c>
      <c r="D1443" s="3">
        <v>45552</v>
      </c>
      <c r="E1443" s="7">
        <v>0</v>
      </c>
      <c r="F1443" s="2">
        <v>0</v>
      </c>
      <c r="I1443" s="1">
        <f>+COUNTIF(F$3:$F1443,F1443)</f>
        <v>483</v>
      </c>
      <c r="K1443" s="132" t="str">
        <f t="shared" si="109"/>
        <v>평일</v>
      </c>
    </row>
    <row r="1444" spans="1:11" ht="21.75" customHeight="1" x14ac:dyDescent="0.25">
      <c r="A1444" s="2">
        <f t="shared" si="106"/>
        <v>2024</v>
      </c>
      <c r="B1444" s="2">
        <f t="shared" si="107"/>
        <v>9</v>
      </c>
      <c r="C1444" s="2" t="str">
        <f t="shared" si="108"/>
        <v>수</v>
      </c>
      <c r="D1444" s="3">
        <v>45553</v>
      </c>
      <c r="E1444" s="7">
        <v>0</v>
      </c>
      <c r="F1444" s="2">
        <v>0</v>
      </c>
      <c r="I1444" s="1">
        <f>+COUNTIF(F$3:$F1444,F1444)</f>
        <v>484</v>
      </c>
      <c r="K1444" s="132" t="str">
        <f t="shared" si="109"/>
        <v>평일</v>
      </c>
    </row>
    <row r="1445" spans="1:11" ht="21.75" customHeight="1" x14ac:dyDescent="0.25">
      <c r="A1445" s="2">
        <f t="shared" si="106"/>
        <v>2024</v>
      </c>
      <c r="B1445" s="2">
        <f t="shared" si="107"/>
        <v>9</v>
      </c>
      <c r="C1445" s="2" t="str">
        <f t="shared" si="108"/>
        <v>목</v>
      </c>
      <c r="D1445" s="3">
        <v>45554</v>
      </c>
      <c r="E1445" s="7">
        <v>0</v>
      </c>
      <c r="F1445" s="2">
        <v>0</v>
      </c>
      <c r="I1445" s="1">
        <f>+COUNTIF(F$3:$F1445,F1445)</f>
        <v>485</v>
      </c>
      <c r="K1445" s="132" t="str">
        <f t="shared" si="109"/>
        <v>평일</v>
      </c>
    </row>
    <row r="1446" spans="1:11" ht="21.75" customHeight="1" x14ac:dyDescent="0.25">
      <c r="A1446" s="2">
        <f t="shared" si="106"/>
        <v>2024</v>
      </c>
      <c r="B1446" s="2">
        <f t="shared" si="107"/>
        <v>9</v>
      </c>
      <c r="C1446" s="2" t="str">
        <f t="shared" si="108"/>
        <v>금</v>
      </c>
      <c r="D1446" s="3">
        <v>45555</v>
      </c>
      <c r="E1446" s="7">
        <v>0</v>
      </c>
      <c r="F1446" s="2">
        <v>0</v>
      </c>
      <c r="I1446" s="1">
        <f>+COUNTIF(F$3:$F1446,F1446)</f>
        <v>486</v>
      </c>
      <c r="K1446" s="132" t="str">
        <f t="shared" si="109"/>
        <v>평일</v>
      </c>
    </row>
    <row r="1447" spans="1:11" ht="21.75" customHeight="1" x14ac:dyDescent="0.25">
      <c r="A1447" s="2">
        <f t="shared" si="106"/>
        <v>2024</v>
      </c>
      <c r="B1447" s="2">
        <f t="shared" si="107"/>
        <v>9</v>
      </c>
      <c r="C1447" s="2" t="str">
        <f t="shared" si="108"/>
        <v>토</v>
      </c>
      <c r="D1447" s="3">
        <v>45556</v>
      </c>
      <c r="E1447" s="7">
        <v>0</v>
      </c>
      <c r="F1447" s="2">
        <v>0</v>
      </c>
      <c r="I1447" s="1">
        <f>+COUNTIF(F$3:$F1447,F1447)</f>
        <v>487</v>
      </c>
      <c r="K1447" s="132" t="str">
        <f t="shared" si="109"/>
        <v>주말</v>
      </c>
    </row>
    <row r="1448" spans="1:11" ht="21.75" customHeight="1" x14ac:dyDescent="0.25">
      <c r="A1448" s="2">
        <f t="shared" si="106"/>
        <v>2024</v>
      </c>
      <c r="B1448" s="2">
        <f t="shared" si="107"/>
        <v>9</v>
      </c>
      <c r="C1448" s="2" t="str">
        <f t="shared" si="108"/>
        <v>일</v>
      </c>
      <c r="D1448" s="3">
        <v>45557</v>
      </c>
      <c r="E1448" s="7">
        <v>0</v>
      </c>
      <c r="F1448" s="2">
        <v>0</v>
      </c>
      <c r="I1448" s="1">
        <f>+COUNTIF(F$3:$F1448,F1448)</f>
        <v>488</v>
      </c>
      <c r="K1448" s="132" t="str">
        <f t="shared" si="109"/>
        <v>주말</v>
      </c>
    </row>
    <row r="1449" spans="1:11" ht="21.75" customHeight="1" x14ac:dyDescent="0.25">
      <c r="A1449" s="2">
        <f t="shared" si="106"/>
        <v>2024</v>
      </c>
      <c r="B1449" s="2">
        <f t="shared" si="107"/>
        <v>9</v>
      </c>
      <c r="C1449" s="2" t="str">
        <f t="shared" si="108"/>
        <v>월</v>
      </c>
      <c r="D1449" s="3">
        <v>45558</v>
      </c>
      <c r="E1449" s="7">
        <v>0</v>
      </c>
      <c r="F1449" s="2">
        <v>0</v>
      </c>
      <c r="I1449" s="1">
        <f>+COUNTIF(F$3:$F1449,F1449)</f>
        <v>489</v>
      </c>
      <c r="K1449" s="132" t="str">
        <f t="shared" si="109"/>
        <v>평일</v>
      </c>
    </row>
    <row r="1450" spans="1:11" ht="21.75" customHeight="1" x14ac:dyDescent="0.25">
      <c r="A1450" s="2">
        <f t="shared" si="106"/>
        <v>2024</v>
      </c>
      <c r="B1450" s="2">
        <f t="shared" si="107"/>
        <v>9</v>
      </c>
      <c r="C1450" s="2" t="str">
        <f t="shared" si="108"/>
        <v>화</v>
      </c>
      <c r="D1450" s="3">
        <v>45559</v>
      </c>
      <c r="E1450" s="7">
        <v>0</v>
      </c>
      <c r="F1450" s="2">
        <v>0</v>
      </c>
      <c r="I1450" s="1">
        <f>+COUNTIF(F$3:$F1450,F1450)</f>
        <v>490</v>
      </c>
      <c r="K1450" s="132" t="str">
        <f t="shared" si="109"/>
        <v>평일</v>
      </c>
    </row>
    <row r="1451" spans="1:11" ht="21.75" customHeight="1" x14ac:dyDescent="0.25">
      <c r="A1451" s="2">
        <f t="shared" si="106"/>
        <v>2024</v>
      </c>
      <c r="B1451" s="2">
        <f t="shared" si="107"/>
        <v>9</v>
      </c>
      <c r="C1451" s="2" t="str">
        <f t="shared" si="108"/>
        <v>수</v>
      </c>
      <c r="D1451" s="3">
        <v>45560</v>
      </c>
      <c r="E1451" s="7">
        <v>0</v>
      </c>
      <c r="F1451" s="2">
        <v>0</v>
      </c>
      <c r="I1451" s="1">
        <f>+COUNTIF(F$3:$F1451,F1451)</f>
        <v>491</v>
      </c>
      <c r="K1451" s="132" t="str">
        <f t="shared" si="109"/>
        <v>평일</v>
      </c>
    </row>
    <row r="1452" spans="1:11" ht="21.75" customHeight="1" x14ac:dyDescent="0.25">
      <c r="A1452" s="2">
        <f t="shared" si="106"/>
        <v>2024</v>
      </c>
      <c r="B1452" s="2">
        <f t="shared" si="107"/>
        <v>9</v>
      </c>
      <c r="C1452" s="2" t="str">
        <f t="shared" si="108"/>
        <v>목</v>
      </c>
      <c r="D1452" s="3">
        <v>45561</v>
      </c>
      <c r="E1452" s="7">
        <v>0</v>
      </c>
      <c r="F1452" s="2">
        <v>0</v>
      </c>
      <c r="I1452" s="1">
        <f>+COUNTIF(F$3:$F1452,F1452)</f>
        <v>492</v>
      </c>
      <c r="K1452" s="132" t="str">
        <f t="shared" si="109"/>
        <v>평일</v>
      </c>
    </row>
    <row r="1453" spans="1:11" ht="21.75" customHeight="1" x14ac:dyDescent="0.25">
      <c r="A1453" s="2">
        <f t="shared" si="106"/>
        <v>2024</v>
      </c>
      <c r="B1453" s="2">
        <f t="shared" si="107"/>
        <v>9</v>
      </c>
      <c r="C1453" s="2" t="str">
        <f t="shared" si="108"/>
        <v>금</v>
      </c>
      <c r="D1453" s="3">
        <v>45562</v>
      </c>
      <c r="E1453" s="7">
        <v>0</v>
      </c>
      <c r="F1453" s="2">
        <v>0</v>
      </c>
      <c r="I1453" s="1">
        <f>+COUNTIF(F$3:$F1453,F1453)</f>
        <v>493</v>
      </c>
      <c r="K1453" s="132" t="str">
        <f t="shared" si="109"/>
        <v>평일</v>
      </c>
    </row>
    <row r="1454" spans="1:11" ht="21.75" customHeight="1" x14ac:dyDescent="0.25">
      <c r="A1454" s="2">
        <f t="shared" si="106"/>
        <v>2024</v>
      </c>
      <c r="B1454" s="2">
        <f t="shared" si="107"/>
        <v>9</v>
      </c>
      <c r="C1454" s="2" t="str">
        <f t="shared" si="108"/>
        <v>토</v>
      </c>
      <c r="D1454" s="3">
        <v>45563</v>
      </c>
      <c r="E1454" s="7">
        <v>0</v>
      </c>
      <c r="F1454" s="2">
        <v>0</v>
      </c>
      <c r="I1454" s="1">
        <f>+COUNTIF(F$3:$F1454,F1454)</f>
        <v>494</v>
      </c>
      <c r="K1454" s="132" t="str">
        <f t="shared" si="109"/>
        <v>주말</v>
      </c>
    </row>
    <row r="1455" spans="1:11" ht="21.75" customHeight="1" x14ac:dyDescent="0.25">
      <c r="A1455" s="2">
        <f t="shared" si="106"/>
        <v>2024</v>
      </c>
      <c r="B1455" s="2">
        <f t="shared" si="107"/>
        <v>9</v>
      </c>
      <c r="C1455" s="2" t="str">
        <f t="shared" si="108"/>
        <v>일</v>
      </c>
      <c r="D1455" s="3">
        <v>45564</v>
      </c>
      <c r="E1455" s="7">
        <v>0</v>
      </c>
      <c r="F1455" s="2">
        <v>0</v>
      </c>
      <c r="I1455" s="1">
        <f>+COUNTIF(F$3:$F1455,F1455)</f>
        <v>495</v>
      </c>
      <c r="K1455" s="132" t="str">
        <f t="shared" si="109"/>
        <v>주말</v>
      </c>
    </row>
    <row r="1456" spans="1:11" ht="21.75" customHeight="1" x14ac:dyDescent="0.25">
      <c r="A1456" s="2">
        <f t="shared" si="106"/>
        <v>2024</v>
      </c>
      <c r="B1456" s="2">
        <f t="shared" si="107"/>
        <v>9</v>
      </c>
      <c r="C1456" s="2" t="str">
        <f t="shared" si="108"/>
        <v>월</v>
      </c>
      <c r="D1456" s="3">
        <v>45565</v>
      </c>
      <c r="E1456" s="7">
        <v>0</v>
      </c>
      <c r="F1456" s="2">
        <v>0</v>
      </c>
      <c r="I1456" s="1">
        <f>+COUNTIF(F$3:$F1456,F1456)</f>
        <v>496</v>
      </c>
      <c r="K1456" s="132" t="str">
        <f t="shared" si="109"/>
        <v>평일</v>
      </c>
    </row>
    <row r="1457" spans="1:11" ht="21.75" customHeight="1" x14ac:dyDescent="0.25">
      <c r="A1457" s="2">
        <f t="shared" si="106"/>
        <v>2024</v>
      </c>
      <c r="B1457" s="2">
        <f t="shared" si="107"/>
        <v>10</v>
      </c>
      <c r="C1457" s="2" t="str">
        <f t="shared" si="108"/>
        <v>화</v>
      </c>
      <c r="D1457" s="3">
        <v>45566</v>
      </c>
      <c r="E1457" s="7">
        <v>0</v>
      </c>
      <c r="F1457" s="2">
        <v>0</v>
      </c>
      <c r="I1457" s="1">
        <f>+COUNTIF(F$3:$F1457,F1457)</f>
        <v>497</v>
      </c>
      <c r="K1457" s="132" t="str">
        <f t="shared" si="109"/>
        <v>평일</v>
      </c>
    </row>
    <row r="1458" spans="1:11" ht="21.75" customHeight="1" x14ac:dyDescent="0.25">
      <c r="A1458" s="2">
        <f t="shared" si="106"/>
        <v>2024</v>
      </c>
      <c r="B1458" s="2">
        <f t="shared" si="107"/>
        <v>10</v>
      </c>
      <c r="C1458" s="2" t="str">
        <f t="shared" si="108"/>
        <v>수</v>
      </c>
      <c r="D1458" s="3">
        <v>45567</v>
      </c>
      <c r="E1458" s="7">
        <v>0</v>
      </c>
      <c r="F1458" s="2">
        <v>0</v>
      </c>
      <c r="I1458" s="1">
        <f>+COUNTIF(F$3:$F1458,F1458)</f>
        <v>498</v>
      </c>
      <c r="K1458" s="132" t="str">
        <f t="shared" si="109"/>
        <v>평일</v>
      </c>
    </row>
    <row r="1459" spans="1:11" ht="21.75" customHeight="1" x14ac:dyDescent="0.25">
      <c r="A1459" s="2">
        <f t="shared" si="106"/>
        <v>2024</v>
      </c>
      <c r="B1459" s="2">
        <f t="shared" si="107"/>
        <v>10</v>
      </c>
      <c r="C1459" s="2" t="str">
        <f t="shared" si="108"/>
        <v>목</v>
      </c>
      <c r="D1459" s="3">
        <v>45568</v>
      </c>
      <c r="E1459" s="7">
        <v>0</v>
      </c>
      <c r="F1459" s="2">
        <v>0</v>
      </c>
      <c r="I1459" s="1">
        <f>+COUNTIF(F$3:$F1459,F1459)</f>
        <v>499</v>
      </c>
      <c r="K1459" s="132" t="str">
        <f t="shared" si="109"/>
        <v>평일</v>
      </c>
    </row>
    <row r="1460" spans="1:11" ht="21.75" customHeight="1" x14ac:dyDescent="0.25">
      <c r="A1460" s="2">
        <f t="shared" si="106"/>
        <v>2024</v>
      </c>
      <c r="B1460" s="2">
        <f t="shared" si="107"/>
        <v>10</v>
      </c>
      <c r="C1460" s="2" t="str">
        <f t="shared" si="108"/>
        <v>금</v>
      </c>
      <c r="D1460" s="3">
        <v>45569</v>
      </c>
      <c r="E1460" s="7">
        <v>0</v>
      </c>
      <c r="F1460" s="2">
        <v>0</v>
      </c>
      <c r="I1460" s="1">
        <f>+COUNTIF(F$3:$F1460,F1460)</f>
        <v>500</v>
      </c>
      <c r="K1460" s="132" t="str">
        <f t="shared" si="109"/>
        <v>평일</v>
      </c>
    </row>
    <row r="1461" spans="1:11" ht="21.75" customHeight="1" x14ac:dyDescent="0.25">
      <c r="A1461" s="2">
        <f t="shared" si="106"/>
        <v>2024</v>
      </c>
      <c r="B1461" s="2">
        <f t="shared" si="107"/>
        <v>10</v>
      </c>
      <c r="C1461" s="2" t="str">
        <f t="shared" si="108"/>
        <v>토</v>
      </c>
      <c r="D1461" s="3">
        <v>45570</v>
      </c>
      <c r="E1461" s="7">
        <v>0</v>
      </c>
      <c r="F1461" s="2">
        <v>0</v>
      </c>
      <c r="I1461" s="1">
        <f>+COUNTIF(F$3:$F1461,F1461)</f>
        <v>501</v>
      </c>
      <c r="K1461" s="132" t="str">
        <f t="shared" si="109"/>
        <v>주말</v>
      </c>
    </row>
    <row r="1462" spans="1:11" ht="21.75" customHeight="1" x14ac:dyDescent="0.25">
      <c r="A1462" s="2">
        <f t="shared" si="106"/>
        <v>2024</v>
      </c>
      <c r="B1462" s="2">
        <f t="shared" si="107"/>
        <v>10</v>
      </c>
      <c r="C1462" s="2" t="str">
        <f t="shared" si="108"/>
        <v>일</v>
      </c>
      <c r="D1462" s="3">
        <v>45571</v>
      </c>
      <c r="E1462" s="7">
        <v>0</v>
      </c>
      <c r="F1462" s="2">
        <v>0</v>
      </c>
      <c r="I1462" s="1">
        <f>+COUNTIF(F$3:$F1462,F1462)</f>
        <v>502</v>
      </c>
      <c r="K1462" s="132" t="str">
        <f t="shared" si="109"/>
        <v>주말</v>
      </c>
    </row>
    <row r="1463" spans="1:11" ht="21.75" customHeight="1" x14ac:dyDescent="0.25">
      <c r="A1463" s="2">
        <f t="shared" si="106"/>
        <v>2024</v>
      </c>
      <c r="B1463" s="2">
        <f t="shared" si="107"/>
        <v>10</v>
      </c>
      <c r="C1463" s="2" t="str">
        <f t="shared" si="108"/>
        <v>월</v>
      </c>
      <c r="D1463" s="3">
        <v>45572</v>
      </c>
      <c r="E1463" s="7">
        <v>0</v>
      </c>
      <c r="F1463" s="2">
        <v>0</v>
      </c>
      <c r="I1463" s="1">
        <f>+COUNTIF(F$3:$F1463,F1463)</f>
        <v>503</v>
      </c>
      <c r="K1463" s="132" t="str">
        <f t="shared" si="109"/>
        <v>평일</v>
      </c>
    </row>
    <row r="1464" spans="1:11" ht="21.75" customHeight="1" x14ac:dyDescent="0.25">
      <c r="A1464" s="2">
        <f t="shared" si="106"/>
        <v>2024</v>
      </c>
      <c r="B1464" s="2">
        <f t="shared" si="107"/>
        <v>10</v>
      </c>
      <c r="C1464" s="2" t="str">
        <f t="shared" si="108"/>
        <v>화</v>
      </c>
      <c r="D1464" s="3">
        <v>45573</v>
      </c>
      <c r="E1464" s="7">
        <v>0</v>
      </c>
      <c r="F1464" s="2">
        <v>0</v>
      </c>
      <c r="I1464" s="1">
        <f>+COUNTIF(F$3:$F1464,F1464)</f>
        <v>504</v>
      </c>
      <c r="K1464" s="132" t="str">
        <f t="shared" si="109"/>
        <v>평일</v>
      </c>
    </row>
    <row r="1465" spans="1:11" ht="21.75" customHeight="1" x14ac:dyDescent="0.25">
      <c r="A1465" s="2">
        <f t="shared" si="106"/>
        <v>2024</v>
      </c>
      <c r="B1465" s="2">
        <f t="shared" si="107"/>
        <v>10</v>
      </c>
      <c r="C1465" s="2" t="str">
        <f t="shared" si="108"/>
        <v>수</v>
      </c>
      <c r="D1465" s="3">
        <v>45574</v>
      </c>
      <c r="E1465" s="7">
        <v>0</v>
      </c>
      <c r="F1465" s="2">
        <v>0</v>
      </c>
      <c r="I1465" s="1">
        <f>+COUNTIF(F$3:$F1465,F1465)</f>
        <v>505</v>
      </c>
      <c r="K1465" s="132" t="str">
        <f t="shared" si="109"/>
        <v>평일</v>
      </c>
    </row>
    <row r="1466" spans="1:11" ht="21.75" customHeight="1" x14ac:dyDescent="0.25">
      <c r="A1466" s="2">
        <f t="shared" si="106"/>
        <v>2024</v>
      </c>
      <c r="B1466" s="2">
        <f t="shared" si="107"/>
        <v>10</v>
      </c>
      <c r="C1466" s="2" t="str">
        <f t="shared" si="108"/>
        <v>목</v>
      </c>
      <c r="D1466" s="3">
        <v>45575</v>
      </c>
      <c r="E1466" s="7">
        <v>0</v>
      </c>
      <c r="F1466" s="2">
        <v>0</v>
      </c>
      <c r="I1466" s="1">
        <f>+COUNTIF(F$3:$F1466,F1466)</f>
        <v>506</v>
      </c>
      <c r="K1466" s="132" t="str">
        <f t="shared" si="109"/>
        <v>평일</v>
      </c>
    </row>
    <row r="1467" spans="1:11" ht="21.75" customHeight="1" x14ac:dyDescent="0.25">
      <c r="A1467" s="2">
        <f t="shared" si="106"/>
        <v>2024</v>
      </c>
      <c r="B1467" s="2">
        <f t="shared" si="107"/>
        <v>10</v>
      </c>
      <c r="C1467" s="2" t="str">
        <f t="shared" si="108"/>
        <v>금</v>
      </c>
      <c r="D1467" s="3">
        <v>45576</v>
      </c>
      <c r="E1467" s="7">
        <v>0</v>
      </c>
      <c r="F1467" s="2">
        <v>0</v>
      </c>
      <c r="I1467" s="1">
        <f>+COUNTIF(F$3:$F1467,F1467)</f>
        <v>507</v>
      </c>
      <c r="K1467" s="132" t="str">
        <f t="shared" si="109"/>
        <v>평일</v>
      </c>
    </row>
    <row r="1468" spans="1:11" ht="21.75" customHeight="1" x14ac:dyDescent="0.25">
      <c r="A1468" s="2">
        <f t="shared" si="106"/>
        <v>2024</v>
      </c>
      <c r="B1468" s="2">
        <f t="shared" si="107"/>
        <v>10</v>
      </c>
      <c r="C1468" s="2" t="str">
        <f t="shared" si="108"/>
        <v>토</v>
      </c>
      <c r="D1468" s="3">
        <v>45577</v>
      </c>
      <c r="E1468" s="7">
        <v>0</v>
      </c>
      <c r="F1468" s="2">
        <v>0</v>
      </c>
      <c r="I1468" s="1">
        <f>+COUNTIF(F$3:$F1468,F1468)</f>
        <v>508</v>
      </c>
      <c r="K1468" s="132" t="str">
        <f t="shared" si="109"/>
        <v>주말</v>
      </c>
    </row>
    <row r="1469" spans="1:11" ht="21.75" customHeight="1" x14ac:dyDescent="0.25">
      <c r="A1469" s="2">
        <f t="shared" si="106"/>
        <v>2024</v>
      </c>
      <c r="B1469" s="2">
        <f t="shared" si="107"/>
        <v>10</v>
      </c>
      <c r="C1469" s="2" t="str">
        <f t="shared" si="108"/>
        <v>일</v>
      </c>
      <c r="D1469" s="3">
        <v>45578</v>
      </c>
      <c r="E1469" s="7">
        <v>0</v>
      </c>
      <c r="F1469" s="2">
        <v>0</v>
      </c>
      <c r="I1469" s="1">
        <f>+COUNTIF(F$3:$F1469,F1469)</f>
        <v>509</v>
      </c>
      <c r="K1469" s="132" t="str">
        <f t="shared" si="109"/>
        <v>주말</v>
      </c>
    </row>
    <row r="1470" spans="1:11" ht="21.75" customHeight="1" x14ac:dyDescent="0.25">
      <c r="A1470" s="2">
        <f t="shared" si="106"/>
        <v>2024</v>
      </c>
      <c r="B1470" s="2">
        <f t="shared" si="107"/>
        <v>10</v>
      </c>
      <c r="C1470" s="2" t="str">
        <f t="shared" si="108"/>
        <v>월</v>
      </c>
      <c r="D1470" s="3">
        <v>45579</v>
      </c>
      <c r="E1470" s="7">
        <v>0</v>
      </c>
      <c r="F1470" s="2">
        <v>0</v>
      </c>
      <c r="I1470" s="1">
        <f>+COUNTIF(F$3:$F1470,F1470)</f>
        <v>510</v>
      </c>
      <c r="K1470" s="132" t="str">
        <f t="shared" si="109"/>
        <v>평일</v>
      </c>
    </row>
    <row r="1471" spans="1:11" ht="21.75" customHeight="1" x14ac:dyDescent="0.25">
      <c r="A1471" s="2">
        <f t="shared" si="106"/>
        <v>2024</v>
      </c>
      <c r="B1471" s="2">
        <f t="shared" si="107"/>
        <v>10</v>
      </c>
      <c r="C1471" s="2" t="str">
        <f t="shared" si="108"/>
        <v>화</v>
      </c>
      <c r="D1471" s="3">
        <v>45580</v>
      </c>
      <c r="E1471" s="7">
        <v>0</v>
      </c>
      <c r="F1471" s="2">
        <v>0</v>
      </c>
      <c r="I1471" s="1">
        <f>+COUNTIF(F$3:$F1471,F1471)</f>
        <v>511</v>
      </c>
      <c r="K1471" s="132" t="str">
        <f t="shared" si="109"/>
        <v>평일</v>
      </c>
    </row>
    <row r="1472" spans="1:11" ht="21.75" customHeight="1" x14ac:dyDescent="0.25">
      <c r="A1472" s="2">
        <f t="shared" si="106"/>
        <v>2024</v>
      </c>
      <c r="B1472" s="2">
        <f t="shared" si="107"/>
        <v>10</v>
      </c>
      <c r="C1472" s="2" t="str">
        <f t="shared" si="108"/>
        <v>수</v>
      </c>
      <c r="D1472" s="3">
        <v>45581</v>
      </c>
      <c r="E1472" s="7">
        <v>0</v>
      </c>
      <c r="F1472" s="2">
        <v>0</v>
      </c>
      <c r="I1472" s="1">
        <f>+COUNTIF(F$3:$F1472,F1472)</f>
        <v>512</v>
      </c>
      <c r="K1472" s="132" t="str">
        <f t="shared" si="109"/>
        <v>평일</v>
      </c>
    </row>
    <row r="1473" spans="1:11" ht="21.75" customHeight="1" x14ac:dyDescent="0.25">
      <c r="A1473" s="2">
        <f t="shared" si="106"/>
        <v>2024</v>
      </c>
      <c r="B1473" s="2">
        <f t="shared" si="107"/>
        <v>10</v>
      </c>
      <c r="C1473" s="2" t="str">
        <f t="shared" si="108"/>
        <v>목</v>
      </c>
      <c r="D1473" s="3">
        <v>45582</v>
      </c>
      <c r="E1473" s="7">
        <v>0</v>
      </c>
      <c r="F1473" s="2">
        <v>0</v>
      </c>
      <c r="I1473" s="1">
        <f>+COUNTIF(F$3:$F1473,F1473)</f>
        <v>513</v>
      </c>
      <c r="K1473" s="132" t="str">
        <f t="shared" si="109"/>
        <v>평일</v>
      </c>
    </row>
    <row r="1474" spans="1:11" ht="21.75" customHeight="1" x14ac:dyDescent="0.25">
      <c r="A1474" s="2">
        <f t="shared" si="106"/>
        <v>2024</v>
      </c>
      <c r="B1474" s="2">
        <f t="shared" si="107"/>
        <v>10</v>
      </c>
      <c r="C1474" s="2" t="str">
        <f t="shared" si="108"/>
        <v>금</v>
      </c>
      <c r="D1474" s="3">
        <v>45583</v>
      </c>
      <c r="E1474" s="7">
        <v>0</v>
      </c>
      <c r="F1474" s="2">
        <v>0</v>
      </c>
      <c r="I1474" s="1">
        <f>+COUNTIF(F$3:$F1474,F1474)</f>
        <v>514</v>
      </c>
      <c r="K1474" s="132" t="str">
        <f t="shared" si="109"/>
        <v>평일</v>
      </c>
    </row>
    <row r="1475" spans="1:11" ht="21.75" customHeight="1" x14ac:dyDescent="0.25">
      <c r="A1475" s="2">
        <f t="shared" si="106"/>
        <v>2024</v>
      </c>
      <c r="B1475" s="2">
        <f t="shared" si="107"/>
        <v>10</v>
      </c>
      <c r="C1475" s="2" t="str">
        <f t="shared" si="108"/>
        <v>토</v>
      </c>
      <c r="D1475" s="3">
        <v>45584</v>
      </c>
      <c r="E1475" s="7">
        <v>0</v>
      </c>
      <c r="F1475" s="2">
        <v>0</v>
      </c>
      <c r="I1475" s="1">
        <f>+COUNTIF(F$3:$F1475,F1475)</f>
        <v>515</v>
      </c>
      <c r="K1475" s="132" t="str">
        <f t="shared" si="109"/>
        <v>주말</v>
      </c>
    </row>
    <row r="1476" spans="1:11" ht="21.75" customHeight="1" x14ac:dyDescent="0.25">
      <c r="A1476" s="2">
        <f t="shared" ref="A1476:A1539" si="110">+YEAR(D1476)</f>
        <v>2024</v>
      </c>
      <c r="B1476" s="2">
        <f t="shared" ref="B1476:B1539" si="111">+MONTH(D1476)</f>
        <v>10</v>
      </c>
      <c r="C1476" s="2" t="str">
        <f t="shared" ref="C1476:C1539" si="112">+TEXT(D1476,"aaa")</f>
        <v>일</v>
      </c>
      <c r="D1476" s="3">
        <v>45585</v>
      </c>
      <c r="E1476" s="7">
        <v>0</v>
      </c>
      <c r="F1476" s="2">
        <v>0</v>
      </c>
      <c r="I1476" s="1">
        <f>+COUNTIF(F$3:$F1476,F1476)</f>
        <v>516</v>
      </c>
      <c r="K1476" s="132" t="str">
        <f t="shared" ref="K1476:K1539" si="113">+IF(OR(C1476="토",C1476="일"),"주말","평일")</f>
        <v>주말</v>
      </c>
    </row>
    <row r="1477" spans="1:11" ht="21.75" customHeight="1" x14ac:dyDescent="0.25">
      <c r="A1477" s="2">
        <f t="shared" si="110"/>
        <v>2024</v>
      </c>
      <c r="B1477" s="2">
        <f t="shared" si="111"/>
        <v>10</v>
      </c>
      <c r="C1477" s="2" t="str">
        <f t="shared" si="112"/>
        <v>월</v>
      </c>
      <c r="D1477" s="3">
        <v>45586</v>
      </c>
      <c r="E1477" s="7">
        <v>0</v>
      </c>
      <c r="F1477" s="2">
        <v>0</v>
      </c>
      <c r="I1477" s="1">
        <f>+COUNTIF(F$3:$F1477,F1477)</f>
        <v>517</v>
      </c>
      <c r="K1477" s="132" t="str">
        <f t="shared" si="113"/>
        <v>평일</v>
      </c>
    </row>
    <row r="1478" spans="1:11" ht="21.75" customHeight="1" x14ac:dyDescent="0.25">
      <c r="A1478" s="2">
        <f t="shared" si="110"/>
        <v>2024</v>
      </c>
      <c r="B1478" s="2">
        <f t="shared" si="111"/>
        <v>10</v>
      </c>
      <c r="C1478" s="2" t="str">
        <f t="shared" si="112"/>
        <v>화</v>
      </c>
      <c r="D1478" s="3">
        <v>45587</v>
      </c>
      <c r="E1478" s="7">
        <v>0</v>
      </c>
      <c r="F1478" s="2">
        <v>0</v>
      </c>
      <c r="I1478" s="1">
        <f>+COUNTIF(F$3:$F1478,F1478)</f>
        <v>518</v>
      </c>
      <c r="K1478" s="132" t="str">
        <f t="shared" si="113"/>
        <v>평일</v>
      </c>
    </row>
    <row r="1479" spans="1:11" ht="21.75" customHeight="1" x14ac:dyDescent="0.25">
      <c r="A1479" s="2">
        <f t="shared" si="110"/>
        <v>2024</v>
      </c>
      <c r="B1479" s="2">
        <f t="shared" si="111"/>
        <v>10</v>
      </c>
      <c r="C1479" s="2" t="str">
        <f t="shared" si="112"/>
        <v>수</v>
      </c>
      <c r="D1479" s="3">
        <v>45588</v>
      </c>
      <c r="E1479" s="7">
        <v>0</v>
      </c>
      <c r="F1479" s="2">
        <v>0</v>
      </c>
      <c r="I1479" s="1">
        <f>+COUNTIF(F$3:$F1479,F1479)</f>
        <v>519</v>
      </c>
      <c r="K1479" s="132" t="str">
        <f t="shared" si="113"/>
        <v>평일</v>
      </c>
    </row>
    <row r="1480" spans="1:11" ht="21.75" customHeight="1" x14ac:dyDescent="0.25">
      <c r="A1480" s="2">
        <f t="shared" si="110"/>
        <v>2024</v>
      </c>
      <c r="B1480" s="2">
        <f t="shared" si="111"/>
        <v>10</v>
      </c>
      <c r="C1480" s="2" t="str">
        <f t="shared" si="112"/>
        <v>목</v>
      </c>
      <c r="D1480" s="3">
        <v>45589</v>
      </c>
      <c r="E1480" s="7">
        <v>0</v>
      </c>
      <c r="F1480" s="2">
        <v>0</v>
      </c>
      <c r="I1480" s="1">
        <f>+COUNTIF(F$3:$F1480,F1480)</f>
        <v>520</v>
      </c>
      <c r="K1480" s="132" t="str">
        <f t="shared" si="113"/>
        <v>평일</v>
      </c>
    </row>
    <row r="1481" spans="1:11" ht="21.75" customHeight="1" x14ac:dyDescent="0.25">
      <c r="A1481" s="2">
        <f t="shared" si="110"/>
        <v>2024</v>
      </c>
      <c r="B1481" s="2">
        <f t="shared" si="111"/>
        <v>10</v>
      </c>
      <c r="C1481" s="2" t="str">
        <f t="shared" si="112"/>
        <v>금</v>
      </c>
      <c r="D1481" s="3">
        <v>45590</v>
      </c>
      <c r="E1481" s="7">
        <v>0</v>
      </c>
      <c r="F1481" s="2">
        <v>0</v>
      </c>
      <c r="I1481" s="1">
        <f>+COUNTIF(F$3:$F1481,F1481)</f>
        <v>521</v>
      </c>
      <c r="K1481" s="132" t="str">
        <f t="shared" si="113"/>
        <v>평일</v>
      </c>
    </row>
    <row r="1482" spans="1:11" ht="21.75" customHeight="1" x14ac:dyDescent="0.25">
      <c r="A1482" s="2">
        <f t="shared" si="110"/>
        <v>2024</v>
      </c>
      <c r="B1482" s="2">
        <f t="shared" si="111"/>
        <v>10</v>
      </c>
      <c r="C1482" s="2" t="str">
        <f t="shared" si="112"/>
        <v>토</v>
      </c>
      <c r="D1482" s="3">
        <v>45591</v>
      </c>
      <c r="E1482" s="7">
        <v>0</v>
      </c>
      <c r="F1482" s="2">
        <v>0</v>
      </c>
      <c r="G1482" s="133"/>
      <c r="I1482" s="1">
        <f>+COUNTIF(F$3:$F1482,F1482)</f>
        <v>522</v>
      </c>
      <c r="K1482" s="132" t="str">
        <f t="shared" si="113"/>
        <v>주말</v>
      </c>
    </row>
    <row r="1483" spans="1:11" ht="21.75" customHeight="1" x14ac:dyDescent="0.25">
      <c r="A1483" s="2">
        <f t="shared" si="110"/>
        <v>2024</v>
      </c>
      <c r="B1483" s="2">
        <f t="shared" si="111"/>
        <v>10</v>
      </c>
      <c r="C1483" s="2" t="str">
        <f t="shared" si="112"/>
        <v>일</v>
      </c>
      <c r="D1483" s="3">
        <v>45592</v>
      </c>
      <c r="E1483" s="7">
        <v>0</v>
      </c>
      <c r="F1483" s="2">
        <v>0</v>
      </c>
      <c r="I1483" s="1">
        <f>+COUNTIF(F$3:$F1483,F1483)</f>
        <v>523</v>
      </c>
      <c r="K1483" s="132" t="str">
        <f t="shared" si="113"/>
        <v>주말</v>
      </c>
    </row>
    <row r="1484" spans="1:11" ht="21.75" customHeight="1" x14ac:dyDescent="0.25">
      <c r="A1484" s="2">
        <f t="shared" si="110"/>
        <v>2024</v>
      </c>
      <c r="B1484" s="2">
        <f t="shared" si="111"/>
        <v>10</v>
      </c>
      <c r="C1484" s="2" t="str">
        <f t="shared" si="112"/>
        <v>월</v>
      </c>
      <c r="D1484" s="3">
        <v>45593</v>
      </c>
      <c r="E1484" s="7">
        <v>0</v>
      </c>
      <c r="F1484" s="2">
        <v>0</v>
      </c>
      <c r="I1484" s="1">
        <f>+COUNTIF(F$3:$F1484,F1484)</f>
        <v>524</v>
      </c>
      <c r="K1484" s="132" t="str">
        <f t="shared" si="113"/>
        <v>평일</v>
      </c>
    </row>
    <row r="1485" spans="1:11" ht="21.75" customHeight="1" x14ac:dyDescent="0.25">
      <c r="A1485" s="2">
        <f t="shared" si="110"/>
        <v>2024</v>
      </c>
      <c r="B1485" s="2">
        <f t="shared" si="111"/>
        <v>10</v>
      </c>
      <c r="C1485" s="2" t="str">
        <f t="shared" si="112"/>
        <v>화</v>
      </c>
      <c r="D1485" s="3">
        <v>45594</v>
      </c>
      <c r="E1485" s="7">
        <v>0</v>
      </c>
      <c r="F1485" s="2">
        <v>0</v>
      </c>
      <c r="I1485" s="1">
        <f>+COUNTIF(F$3:$F1485,F1485)</f>
        <v>525</v>
      </c>
      <c r="K1485" s="132" t="str">
        <f t="shared" si="113"/>
        <v>평일</v>
      </c>
    </row>
    <row r="1486" spans="1:11" ht="21.75" customHeight="1" x14ac:dyDescent="0.25">
      <c r="A1486" s="2">
        <f t="shared" si="110"/>
        <v>2024</v>
      </c>
      <c r="B1486" s="2">
        <f t="shared" si="111"/>
        <v>10</v>
      </c>
      <c r="C1486" s="2" t="str">
        <f t="shared" si="112"/>
        <v>수</v>
      </c>
      <c r="D1486" s="3">
        <v>45595</v>
      </c>
      <c r="E1486" s="7">
        <v>0</v>
      </c>
      <c r="F1486" s="2">
        <v>0</v>
      </c>
      <c r="I1486" s="1">
        <f>+COUNTIF(F$3:$F1486,F1486)</f>
        <v>526</v>
      </c>
      <c r="K1486" s="132" t="str">
        <f t="shared" si="113"/>
        <v>평일</v>
      </c>
    </row>
    <row r="1487" spans="1:11" ht="21.75" customHeight="1" x14ac:dyDescent="0.25">
      <c r="A1487" s="2">
        <f t="shared" si="110"/>
        <v>2024</v>
      </c>
      <c r="B1487" s="2">
        <f t="shared" si="111"/>
        <v>10</v>
      </c>
      <c r="C1487" s="2" t="str">
        <f t="shared" si="112"/>
        <v>목</v>
      </c>
      <c r="D1487" s="3">
        <v>45596</v>
      </c>
      <c r="E1487" s="7">
        <v>0</v>
      </c>
      <c r="F1487" s="2">
        <v>0</v>
      </c>
      <c r="I1487" s="1">
        <f>+COUNTIF(F$3:$F1487,F1487)</f>
        <v>527</v>
      </c>
      <c r="K1487" s="132" t="str">
        <f t="shared" si="113"/>
        <v>평일</v>
      </c>
    </row>
    <row r="1488" spans="1:11" ht="21.75" customHeight="1" x14ac:dyDescent="0.25">
      <c r="A1488" s="2">
        <f t="shared" si="110"/>
        <v>2024</v>
      </c>
      <c r="B1488" s="2">
        <f t="shared" si="111"/>
        <v>11</v>
      </c>
      <c r="C1488" s="2" t="str">
        <f t="shared" si="112"/>
        <v>금</v>
      </c>
      <c r="D1488" s="3">
        <v>45597</v>
      </c>
      <c r="E1488" s="7">
        <v>0</v>
      </c>
      <c r="F1488" s="2">
        <v>0</v>
      </c>
      <c r="I1488" s="1">
        <f>+COUNTIF(F$3:$F1488,F1488)</f>
        <v>528</v>
      </c>
      <c r="K1488" s="132" t="str">
        <f t="shared" si="113"/>
        <v>평일</v>
      </c>
    </row>
    <row r="1489" spans="1:11" ht="21.75" customHeight="1" x14ac:dyDescent="0.25">
      <c r="A1489" s="2">
        <f t="shared" si="110"/>
        <v>2024</v>
      </c>
      <c r="B1489" s="2">
        <f t="shared" si="111"/>
        <v>11</v>
      </c>
      <c r="C1489" s="2" t="str">
        <f t="shared" si="112"/>
        <v>토</v>
      </c>
      <c r="D1489" s="3">
        <v>45598</v>
      </c>
      <c r="E1489" s="7">
        <v>0</v>
      </c>
      <c r="F1489" s="2">
        <v>0</v>
      </c>
      <c r="I1489" s="1">
        <f>+COUNTIF(F$3:$F1489,F1489)</f>
        <v>529</v>
      </c>
      <c r="K1489" s="132" t="str">
        <f t="shared" si="113"/>
        <v>주말</v>
      </c>
    </row>
    <row r="1490" spans="1:11" ht="21.75" customHeight="1" x14ac:dyDescent="0.25">
      <c r="A1490" s="2">
        <f t="shared" si="110"/>
        <v>2024</v>
      </c>
      <c r="B1490" s="2">
        <f t="shared" si="111"/>
        <v>11</v>
      </c>
      <c r="C1490" s="2" t="str">
        <f t="shared" si="112"/>
        <v>일</v>
      </c>
      <c r="D1490" s="3">
        <v>45599</v>
      </c>
      <c r="E1490" s="7">
        <v>0</v>
      </c>
      <c r="F1490" s="2">
        <v>0</v>
      </c>
      <c r="I1490" s="1">
        <f>+COUNTIF(F$3:$F1490,F1490)</f>
        <v>530</v>
      </c>
      <c r="K1490" s="132" t="str">
        <f t="shared" si="113"/>
        <v>주말</v>
      </c>
    </row>
    <row r="1491" spans="1:11" ht="21.75" customHeight="1" x14ac:dyDescent="0.25">
      <c r="A1491" s="2">
        <f t="shared" si="110"/>
        <v>2024</v>
      </c>
      <c r="B1491" s="2">
        <f t="shared" si="111"/>
        <v>11</v>
      </c>
      <c r="C1491" s="2" t="str">
        <f t="shared" si="112"/>
        <v>월</v>
      </c>
      <c r="D1491" s="3">
        <v>45600</v>
      </c>
      <c r="E1491" s="7">
        <v>0</v>
      </c>
      <c r="F1491" s="2">
        <v>0</v>
      </c>
      <c r="I1491" s="1">
        <f>+COUNTIF(F$3:$F1491,F1491)</f>
        <v>531</v>
      </c>
      <c r="K1491" s="132" t="str">
        <f t="shared" si="113"/>
        <v>평일</v>
      </c>
    </row>
    <row r="1492" spans="1:11" ht="21.75" customHeight="1" x14ac:dyDescent="0.25">
      <c r="A1492" s="2">
        <f t="shared" si="110"/>
        <v>2024</v>
      </c>
      <c r="B1492" s="2">
        <f t="shared" si="111"/>
        <v>11</v>
      </c>
      <c r="C1492" s="2" t="str">
        <f t="shared" si="112"/>
        <v>화</v>
      </c>
      <c r="D1492" s="3">
        <v>45601</v>
      </c>
      <c r="E1492" s="7">
        <v>0</v>
      </c>
      <c r="F1492" s="2">
        <v>0</v>
      </c>
      <c r="I1492" s="1">
        <f>+COUNTIF(F$3:$F1492,F1492)</f>
        <v>532</v>
      </c>
      <c r="K1492" s="132" t="str">
        <f t="shared" si="113"/>
        <v>평일</v>
      </c>
    </row>
    <row r="1493" spans="1:11" ht="21.75" customHeight="1" x14ac:dyDescent="0.25">
      <c r="A1493" s="2">
        <f t="shared" si="110"/>
        <v>2024</v>
      </c>
      <c r="B1493" s="2">
        <f t="shared" si="111"/>
        <v>11</v>
      </c>
      <c r="C1493" s="2" t="str">
        <f t="shared" si="112"/>
        <v>수</v>
      </c>
      <c r="D1493" s="3">
        <v>45602</v>
      </c>
      <c r="E1493" s="7">
        <v>0</v>
      </c>
      <c r="F1493" s="2">
        <v>0</v>
      </c>
      <c r="I1493" s="1">
        <f>+COUNTIF(F$3:$F1493,F1493)</f>
        <v>533</v>
      </c>
      <c r="K1493" s="132" t="str">
        <f t="shared" si="113"/>
        <v>평일</v>
      </c>
    </row>
    <row r="1494" spans="1:11" ht="21.75" customHeight="1" x14ac:dyDescent="0.25">
      <c r="A1494" s="2">
        <f t="shared" si="110"/>
        <v>2024</v>
      </c>
      <c r="B1494" s="2">
        <f t="shared" si="111"/>
        <v>11</v>
      </c>
      <c r="C1494" s="2" t="str">
        <f t="shared" si="112"/>
        <v>목</v>
      </c>
      <c r="D1494" s="3">
        <v>45603</v>
      </c>
      <c r="E1494" s="7">
        <v>0</v>
      </c>
      <c r="F1494" s="2">
        <v>0</v>
      </c>
      <c r="I1494" s="1">
        <f>+COUNTIF(F$3:$F1494,F1494)</f>
        <v>534</v>
      </c>
      <c r="K1494" s="132" t="str">
        <f t="shared" si="113"/>
        <v>평일</v>
      </c>
    </row>
    <row r="1495" spans="1:11" ht="21.75" customHeight="1" x14ac:dyDescent="0.25">
      <c r="A1495" s="2">
        <f t="shared" si="110"/>
        <v>2024</v>
      </c>
      <c r="B1495" s="2">
        <f t="shared" si="111"/>
        <v>11</v>
      </c>
      <c r="C1495" s="2" t="str">
        <f t="shared" si="112"/>
        <v>금</v>
      </c>
      <c r="D1495" s="3">
        <v>45604</v>
      </c>
      <c r="E1495" s="7">
        <v>0</v>
      </c>
      <c r="F1495" s="2">
        <v>0</v>
      </c>
      <c r="I1495" s="1">
        <f>+COUNTIF(F$3:$F1495,F1495)</f>
        <v>535</v>
      </c>
      <c r="K1495" s="132" t="str">
        <f t="shared" si="113"/>
        <v>평일</v>
      </c>
    </row>
    <row r="1496" spans="1:11" ht="21.75" customHeight="1" x14ac:dyDescent="0.25">
      <c r="A1496" s="2">
        <f t="shared" si="110"/>
        <v>2024</v>
      </c>
      <c r="B1496" s="2">
        <f t="shared" si="111"/>
        <v>11</v>
      </c>
      <c r="C1496" s="2" t="str">
        <f t="shared" si="112"/>
        <v>토</v>
      </c>
      <c r="D1496" s="3">
        <v>45605</v>
      </c>
      <c r="E1496" s="7">
        <v>0</v>
      </c>
      <c r="F1496" s="2">
        <v>0</v>
      </c>
      <c r="I1496" s="1">
        <f>+COUNTIF(F$3:$F1496,F1496)</f>
        <v>536</v>
      </c>
      <c r="K1496" s="132" t="str">
        <f t="shared" si="113"/>
        <v>주말</v>
      </c>
    </row>
    <row r="1497" spans="1:11" ht="21.75" customHeight="1" x14ac:dyDescent="0.25">
      <c r="A1497" s="2">
        <f t="shared" si="110"/>
        <v>2024</v>
      </c>
      <c r="B1497" s="2">
        <f t="shared" si="111"/>
        <v>11</v>
      </c>
      <c r="C1497" s="2" t="str">
        <f t="shared" si="112"/>
        <v>일</v>
      </c>
      <c r="D1497" s="3">
        <v>45606</v>
      </c>
      <c r="E1497" s="7">
        <v>0</v>
      </c>
      <c r="F1497" s="2">
        <v>0</v>
      </c>
      <c r="I1497" s="1">
        <f>+COUNTIF(F$3:$F1497,F1497)</f>
        <v>537</v>
      </c>
      <c r="K1497" s="132" t="str">
        <f t="shared" si="113"/>
        <v>주말</v>
      </c>
    </row>
    <row r="1498" spans="1:11" ht="21.75" customHeight="1" x14ac:dyDescent="0.25">
      <c r="A1498" s="2">
        <f t="shared" si="110"/>
        <v>2024</v>
      </c>
      <c r="B1498" s="2">
        <f t="shared" si="111"/>
        <v>11</v>
      </c>
      <c r="C1498" s="2" t="str">
        <f t="shared" si="112"/>
        <v>월</v>
      </c>
      <c r="D1498" s="3">
        <v>45607</v>
      </c>
      <c r="E1498" s="7">
        <v>0</v>
      </c>
      <c r="F1498" s="2">
        <v>0</v>
      </c>
      <c r="I1498" s="1">
        <f>+COUNTIF(F$3:$F1498,F1498)</f>
        <v>538</v>
      </c>
      <c r="K1498" s="132" t="str">
        <f t="shared" si="113"/>
        <v>평일</v>
      </c>
    </row>
    <row r="1499" spans="1:11" ht="21.75" customHeight="1" x14ac:dyDescent="0.25">
      <c r="A1499" s="2">
        <f t="shared" si="110"/>
        <v>2024</v>
      </c>
      <c r="B1499" s="2">
        <f t="shared" si="111"/>
        <v>11</v>
      </c>
      <c r="C1499" s="2" t="str">
        <f t="shared" si="112"/>
        <v>화</v>
      </c>
      <c r="D1499" s="3">
        <v>45608</v>
      </c>
      <c r="E1499" s="7">
        <v>0</v>
      </c>
      <c r="F1499" s="2">
        <v>0</v>
      </c>
      <c r="I1499" s="1">
        <f>+COUNTIF(F$3:$F1499,F1499)</f>
        <v>539</v>
      </c>
      <c r="K1499" s="132" t="str">
        <f t="shared" si="113"/>
        <v>평일</v>
      </c>
    </row>
    <row r="1500" spans="1:11" ht="21.75" customHeight="1" x14ac:dyDescent="0.25">
      <c r="A1500" s="2">
        <f t="shared" si="110"/>
        <v>2024</v>
      </c>
      <c r="B1500" s="2">
        <f t="shared" si="111"/>
        <v>11</v>
      </c>
      <c r="C1500" s="2" t="str">
        <f t="shared" si="112"/>
        <v>수</v>
      </c>
      <c r="D1500" s="3">
        <v>45609</v>
      </c>
      <c r="E1500" s="7">
        <v>0</v>
      </c>
      <c r="F1500" s="2">
        <v>0</v>
      </c>
      <c r="I1500" s="1">
        <f>+COUNTIF(F$3:$F1500,F1500)</f>
        <v>540</v>
      </c>
      <c r="K1500" s="132" t="str">
        <f t="shared" si="113"/>
        <v>평일</v>
      </c>
    </row>
    <row r="1501" spans="1:11" ht="21.75" customHeight="1" x14ac:dyDescent="0.25">
      <c r="A1501" s="2">
        <f t="shared" si="110"/>
        <v>2024</v>
      </c>
      <c r="B1501" s="2">
        <f t="shared" si="111"/>
        <v>11</v>
      </c>
      <c r="C1501" s="2" t="str">
        <f t="shared" si="112"/>
        <v>목</v>
      </c>
      <c r="D1501" s="3">
        <v>45610</v>
      </c>
      <c r="E1501" s="7">
        <v>0</v>
      </c>
      <c r="F1501" s="2">
        <v>0</v>
      </c>
      <c r="I1501" s="1">
        <f>+COUNTIF(F$3:$F1501,F1501)</f>
        <v>541</v>
      </c>
      <c r="K1501" s="132" t="str">
        <f t="shared" si="113"/>
        <v>평일</v>
      </c>
    </row>
    <row r="1502" spans="1:11" ht="21.75" customHeight="1" x14ac:dyDescent="0.25">
      <c r="A1502" s="2">
        <f t="shared" si="110"/>
        <v>2024</v>
      </c>
      <c r="B1502" s="2">
        <f t="shared" si="111"/>
        <v>11</v>
      </c>
      <c r="C1502" s="2" t="str">
        <f t="shared" si="112"/>
        <v>금</v>
      </c>
      <c r="D1502" s="3">
        <v>45611</v>
      </c>
      <c r="E1502" s="7">
        <v>0</v>
      </c>
      <c r="F1502" s="2">
        <v>0</v>
      </c>
      <c r="I1502" s="1">
        <f>+COUNTIF(F$3:$F1502,F1502)</f>
        <v>542</v>
      </c>
      <c r="K1502" s="132" t="str">
        <f t="shared" si="113"/>
        <v>평일</v>
      </c>
    </row>
    <row r="1503" spans="1:11" ht="21.75" customHeight="1" x14ac:dyDescent="0.25">
      <c r="A1503" s="2">
        <f t="shared" si="110"/>
        <v>2024</v>
      </c>
      <c r="B1503" s="2">
        <f t="shared" si="111"/>
        <v>11</v>
      </c>
      <c r="C1503" s="2" t="str">
        <f t="shared" si="112"/>
        <v>토</v>
      </c>
      <c r="D1503" s="3">
        <v>45612</v>
      </c>
      <c r="E1503" s="7">
        <v>0</v>
      </c>
      <c r="F1503" s="2">
        <v>0</v>
      </c>
      <c r="I1503" s="1">
        <f>+COUNTIF(F$3:$F1503,F1503)</f>
        <v>543</v>
      </c>
      <c r="K1503" s="132" t="str">
        <f t="shared" si="113"/>
        <v>주말</v>
      </c>
    </row>
    <row r="1504" spans="1:11" ht="21.75" customHeight="1" x14ac:dyDescent="0.25">
      <c r="A1504" s="2">
        <f t="shared" si="110"/>
        <v>2024</v>
      </c>
      <c r="B1504" s="2">
        <f t="shared" si="111"/>
        <v>11</v>
      </c>
      <c r="C1504" s="2" t="str">
        <f t="shared" si="112"/>
        <v>일</v>
      </c>
      <c r="D1504" s="3">
        <v>45613</v>
      </c>
      <c r="E1504" s="7">
        <v>0</v>
      </c>
      <c r="F1504" s="2">
        <v>0</v>
      </c>
      <c r="I1504" s="1">
        <f>+COUNTIF(F$3:$F1504,F1504)</f>
        <v>544</v>
      </c>
      <c r="K1504" s="132" t="str">
        <f t="shared" si="113"/>
        <v>주말</v>
      </c>
    </row>
    <row r="1505" spans="1:11" ht="21.75" customHeight="1" x14ac:dyDescent="0.25">
      <c r="A1505" s="2">
        <f t="shared" si="110"/>
        <v>2024</v>
      </c>
      <c r="B1505" s="2">
        <f t="shared" si="111"/>
        <v>11</v>
      </c>
      <c r="C1505" s="2" t="str">
        <f t="shared" si="112"/>
        <v>월</v>
      </c>
      <c r="D1505" s="3">
        <v>45614</v>
      </c>
      <c r="E1505" s="7">
        <v>0</v>
      </c>
      <c r="F1505" s="2">
        <v>0</v>
      </c>
      <c r="I1505" s="1">
        <f>+COUNTIF(F$3:$F1505,F1505)</f>
        <v>545</v>
      </c>
      <c r="K1505" s="132" t="str">
        <f t="shared" si="113"/>
        <v>평일</v>
      </c>
    </row>
    <row r="1506" spans="1:11" ht="21.75" customHeight="1" x14ac:dyDescent="0.25">
      <c r="A1506" s="2">
        <f t="shared" si="110"/>
        <v>2024</v>
      </c>
      <c r="B1506" s="2">
        <f t="shared" si="111"/>
        <v>11</v>
      </c>
      <c r="C1506" s="2" t="str">
        <f t="shared" si="112"/>
        <v>화</v>
      </c>
      <c r="D1506" s="3">
        <v>45615</v>
      </c>
      <c r="E1506" s="7">
        <v>0</v>
      </c>
      <c r="F1506" s="2">
        <v>0</v>
      </c>
      <c r="I1506" s="1">
        <f>+COUNTIF(F$3:$F1506,F1506)</f>
        <v>546</v>
      </c>
      <c r="K1506" s="132" t="str">
        <f t="shared" si="113"/>
        <v>평일</v>
      </c>
    </row>
    <row r="1507" spans="1:11" ht="21.75" customHeight="1" x14ac:dyDescent="0.25">
      <c r="A1507" s="2">
        <f t="shared" si="110"/>
        <v>2024</v>
      </c>
      <c r="B1507" s="2">
        <f t="shared" si="111"/>
        <v>11</v>
      </c>
      <c r="C1507" s="2" t="str">
        <f t="shared" si="112"/>
        <v>수</v>
      </c>
      <c r="D1507" s="3">
        <v>45616</v>
      </c>
      <c r="E1507" s="7">
        <v>0</v>
      </c>
      <c r="F1507" s="2">
        <v>0</v>
      </c>
      <c r="I1507" s="1">
        <f>+COUNTIF(F$3:$F1507,F1507)</f>
        <v>547</v>
      </c>
      <c r="K1507" s="132" t="str">
        <f t="shared" si="113"/>
        <v>평일</v>
      </c>
    </row>
    <row r="1508" spans="1:11" ht="21.75" customHeight="1" x14ac:dyDescent="0.25">
      <c r="A1508" s="2">
        <f t="shared" si="110"/>
        <v>2024</v>
      </c>
      <c r="B1508" s="2">
        <f t="shared" si="111"/>
        <v>11</v>
      </c>
      <c r="C1508" s="2" t="str">
        <f t="shared" si="112"/>
        <v>목</v>
      </c>
      <c r="D1508" s="3">
        <v>45617</v>
      </c>
      <c r="E1508" s="7">
        <v>0</v>
      </c>
      <c r="F1508" s="2">
        <v>0</v>
      </c>
      <c r="I1508" s="1">
        <f>+COUNTIF(F$3:$F1508,F1508)</f>
        <v>548</v>
      </c>
      <c r="K1508" s="132" t="str">
        <f t="shared" si="113"/>
        <v>평일</v>
      </c>
    </row>
    <row r="1509" spans="1:11" ht="21.75" customHeight="1" x14ac:dyDescent="0.25">
      <c r="A1509" s="2">
        <f t="shared" si="110"/>
        <v>2024</v>
      </c>
      <c r="B1509" s="2">
        <f t="shared" si="111"/>
        <v>11</v>
      </c>
      <c r="C1509" s="2" t="str">
        <f t="shared" si="112"/>
        <v>금</v>
      </c>
      <c r="D1509" s="3">
        <v>45618</v>
      </c>
      <c r="E1509" s="7">
        <v>0</v>
      </c>
      <c r="F1509" s="2">
        <v>0</v>
      </c>
      <c r="I1509" s="1">
        <f>+COUNTIF(F$3:$F1509,F1509)</f>
        <v>549</v>
      </c>
      <c r="K1509" s="132" t="str">
        <f t="shared" si="113"/>
        <v>평일</v>
      </c>
    </row>
    <row r="1510" spans="1:11" ht="21.75" customHeight="1" x14ac:dyDescent="0.25">
      <c r="A1510" s="2">
        <f t="shared" si="110"/>
        <v>2024</v>
      </c>
      <c r="B1510" s="2">
        <f t="shared" si="111"/>
        <v>11</v>
      </c>
      <c r="C1510" s="2" t="str">
        <f t="shared" si="112"/>
        <v>토</v>
      </c>
      <c r="D1510" s="3">
        <v>45619</v>
      </c>
      <c r="E1510" s="7">
        <v>0</v>
      </c>
      <c r="F1510" s="2">
        <v>0</v>
      </c>
      <c r="I1510" s="1">
        <f>+COUNTIF(F$3:$F1510,F1510)</f>
        <v>550</v>
      </c>
      <c r="K1510" s="132" t="str">
        <f t="shared" si="113"/>
        <v>주말</v>
      </c>
    </row>
    <row r="1511" spans="1:11" ht="21.75" customHeight="1" x14ac:dyDescent="0.25">
      <c r="A1511" s="2">
        <f t="shared" si="110"/>
        <v>2024</v>
      </c>
      <c r="B1511" s="2">
        <f t="shared" si="111"/>
        <v>11</v>
      </c>
      <c r="C1511" s="2" t="str">
        <f t="shared" si="112"/>
        <v>일</v>
      </c>
      <c r="D1511" s="3">
        <v>45620</v>
      </c>
      <c r="E1511" s="7">
        <v>0</v>
      </c>
      <c r="F1511" s="2">
        <v>0</v>
      </c>
      <c r="I1511" s="1">
        <f>+COUNTIF(F$3:$F1511,F1511)</f>
        <v>551</v>
      </c>
      <c r="K1511" s="132" t="str">
        <f t="shared" si="113"/>
        <v>주말</v>
      </c>
    </row>
    <row r="1512" spans="1:11" ht="21.75" customHeight="1" x14ac:dyDescent="0.25">
      <c r="A1512" s="2">
        <f t="shared" si="110"/>
        <v>2024</v>
      </c>
      <c r="B1512" s="2">
        <f t="shared" si="111"/>
        <v>11</v>
      </c>
      <c r="C1512" s="2" t="str">
        <f t="shared" si="112"/>
        <v>월</v>
      </c>
      <c r="D1512" s="3">
        <v>45621</v>
      </c>
      <c r="E1512" s="7">
        <v>0</v>
      </c>
      <c r="F1512" s="2">
        <v>0</v>
      </c>
      <c r="I1512" s="1">
        <f>+COUNTIF(F$3:$F1512,F1512)</f>
        <v>552</v>
      </c>
      <c r="K1512" s="132" t="str">
        <f t="shared" si="113"/>
        <v>평일</v>
      </c>
    </row>
    <row r="1513" spans="1:11" ht="21.75" customHeight="1" x14ac:dyDescent="0.25">
      <c r="A1513" s="2">
        <f t="shared" si="110"/>
        <v>2024</v>
      </c>
      <c r="B1513" s="2">
        <f t="shared" si="111"/>
        <v>11</v>
      </c>
      <c r="C1513" s="2" t="str">
        <f t="shared" si="112"/>
        <v>화</v>
      </c>
      <c r="D1513" s="3">
        <v>45622</v>
      </c>
      <c r="E1513" s="7">
        <v>0</v>
      </c>
      <c r="F1513" s="2">
        <v>0</v>
      </c>
      <c r="I1513" s="1">
        <f>+COUNTIF(F$3:$F1513,F1513)</f>
        <v>553</v>
      </c>
      <c r="K1513" s="132" t="str">
        <f t="shared" si="113"/>
        <v>평일</v>
      </c>
    </row>
    <row r="1514" spans="1:11" ht="21.75" customHeight="1" x14ac:dyDescent="0.25">
      <c r="A1514" s="2">
        <f t="shared" si="110"/>
        <v>2024</v>
      </c>
      <c r="B1514" s="2">
        <f t="shared" si="111"/>
        <v>11</v>
      </c>
      <c r="C1514" s="2" t="str">
        <f t="shared" si="112"/>
        <v>수</v>
      </c>
      <c r="D1514" s="3">
        <v>45623</v>
      </c>
      <c r="E1514" s="7">
        <v>0</v>
      </c>
      <c r="F1514" s="2">
        <v>0</v>
      </c>
      <c r="I1514" s="1">
        <f>+COUNTIF(F$3:$F1514,F1514)</f>
        <v>554</v>
      </c>
      <c r="K1514" s="132" t="str">
        <f t="shared" si="113"/>
        <v>평일</v>
      </c>
    </row>
    <row r="1515" spans="1:11" ht="21.75" customHeight="1" x14ac:dyDescent="0.25">
      <c r="A1515" s="2">
        <f t="shared" si="110"/>
        <v>2024</v>
      </c>
      <c r="B1515" s="2">
        <f t="shared" si="111"/>
        <v>11</v>
      </c>
      <c r="C1515" s="2" t="str">
        <f t="shared" si="112"/>
        <v>목</v>
      </c>
      <c r="D1515" s="3">
        <v>45624</v>
      </c>
      <c r="E1515" s="7">
        <v>0</v>
      </c>
      <c r="F1515" s="2">
        <v>0</v>
      </c>
      <c r="I1515" s="1">
        <f>+COUNTIF(F$3:$F1515,F1515)</f>
        <v>555</v>
      </c>
      <c r="K1515" s="132" t="str">
        <f t="shared" si="113"/>
        <v>평일</v>
      </c>
    </row>
    <row r="1516" spans="1:11" ht="21.75" customHeight="1" x14ac:dyDescent="0.25">
      <c r="A1516" s="2">
        <f t="shared" si="110"/>
        <v>2024</v>
      </c>
      <c r="B1516" s="2">
        <f t="shared" si="111"/>
        <v>11</v>
      </c>
      <c r="C1516" s="2" t="str">
        <f t="shared" si="112"/>
        <v>금</v>
      </c>
      <c r="D1516" s="3">
        <v>45625</v>
      </c>
      <c r="E1516" s="7">
        <v>0</v>
      </c>
      <c r="F1516" s="2">
        <v>0</v>
      </c>
      <c r="I1516" s="1">
        <f>+COUNTIF(F$3:$F1516,F1516)</f>
        <v>556</v>
      </c>
      <c r="K1516" s="132" t="str">
        <f t="shared" si="113"/>
        <v>평일</v>
      </c>
    </row>
    <row r="1517" spans="1:11" ht="21.75" customHeight="1" x14ac:dyDescent="0.25">
      <c r="A1517" s="2">
        <f t="shared" si="110"/>
        <v>2024</v>
      </c>
      <c r="B1517" s="2">
        <f t="shared" si="111"/>
        <v>11</v>
      </c>
      <c r="C1517" s="2" t="str">
        <f t="shared" si="112"/>
        <v>토</v>
      </c>
      <c r="D1517" s="3">
        <v>45626</v>
      </c>
      <c r="E1517" s="7">
        <v>0</v>
      </c>
      <c r="F1517" s="2">
        <v>0</v>
      </c>
      <c r="I1517" s="1">
        <f>+COUNTIF(F$3:$F1517,F1517)</f>
        <v>557</v>
      </c>
      <c r="K1517" s="132" t="str">
        <f t="shared" si="113"/>
        <v>주말</v>
      </c>
    </row>
    <row r="1518" spans="1:11" ht="21.75" customHeight="1" x14ac:dyDescent="0.25">
      <c r="A1518" s="2">
        <f t="shared" si="110"/>
        <v>2024</v>
      </c>
      <c r="B1518" s="2">
        <f t="shared" si="111"/>
        <v>12</v>
      </c>
      <c r="C1518" s="2" t="str">
        <f t="shared" si="112"/>
        <v>일</v>
      </c>
      <c r="D1518" s="3">
        <v>45627</v>
      </c>
      <c r="E1518" s="7">
        <v>0</v>
      </c>
      <c r="F1518" s="2">
        <v>0</v>
      </c>
      <c r="I1518" s="1">
        <f>+COUNTIF(F$3:$F1518,F1518)</f>
        <v>558</v>
      </c>
      <c r="K1518" s="132" t="str">
        <f t="shared" si="113"/>
        <v>주말</v>
      </c>
    </row>
    <row r="1519" spans="1:11" ht="21.75" customHeight="1" x14ac:dyDescent="0.25">
      <c r="A1519" s="2">
        <f t="shared" si="110"/>
        <v>2024</v>
      </c>
      <c r="B1519" s="2">
        <f t="shared" si="111"/>
        <v>12</v>
      </c>
      <c r="C1519" s="2" t="str">
        <f t="shared" si="112"/>
        <v>월</v>
      </c>
      <c r="D1519" s="3">
        <v>45628</v>
      </c>
      <c r="E1519" s="7">
        <v>0</v>
      </c>
      <c r="F1519" s="2">
        <v>0</v>
      </c>
      <c r="I1519" s="1">
        <f>+COUNTIF(F$3:$F1519,F1519)</f>
        <v>559</v>
      </c>
      <c r="K1519" s="132" t="str">
        <f t="shared" si="113"/>
        <v>평일</v>
      </c>
    </row>
    <row r="1520" spans="1:11" ht="21.75" customHeight="1" x14ac:dyDescent="0.25">
      <c r="A1520" s="2">
        <f t="shared" si="110"/>
        <v>2024</v>
      </c>
      <c r="B1520" s="2">
        <f t="shared" si="111"/>
        <v>12</v>
      </c>
      <c r="C1520" s="2" t="str">
        <f t="shared" si="112"/>
        <v>화</v>
      </c>
      <c r="D1520" s="3">
        <v>45629</v>
      </c>
      <c r="E1520" s="7">
        <v>0</v>
      </c>
      <c r="F1520" s="2">
        <v>0</v>
      </c>
      <c r="I1520" s="1">
        <f>+COUNTIF(F$3:$F1520,F1520)</f>
        <v>560</v>
      </c>
      <c r="K1520" s="132" t="str">
        <f t="shared" si="113"/>
        <v>평일</v>
      </c>
    </row>
    <row r="1521" spans="1:11" ht="21.75" customHeight="1" x14ac:dyDescent="0.25">
      <c r="A1521" s="2">
        <f t="shared" si="110"/>
        <v>2024</v>
      </c>
      <c r="B1521" s="2">
        <f t="shared" si="111"/>
        <v>12</v>
      </c>
      <c r="C1521" s="2" t="str">
        <f t="shared" si="112"/>
        <v>수</v>
      </c>
      <c r="D1521" s="3">
        <v>45630</v>
      </c>
      <c r="E1521" s="7">
        <v>0</v>
      </c>
      <c r="F1521" s="2">
        <v>0</v>
      </c>
      <c r="I1521" s="1">
        <f>+COUNTIF(F$3:$F1521,F1521)</f>
        <v>561</v>
      </c>
      <c r="K1521" s="132" t="str">
        <f t="shared" si="113"/>
        <v>평일</v>
      </c>
    </row>
    <row r="1522" spans="1:11" ht="21.75" customHeight="1" x14ac:dyDescent="0.25">
      <c r="A1522" s="2">
        <f t="shared" si="110"/>
        <v>2024</v>
      </c>
      <c r="B1522" s="2">
        <f t="shared" si="111"/>
        <v>12</v>
      </c>
      <c r="C1522" s="2" t="str">
        <f t="shared" si="112"/>
        <v>목</v>
      </c>
      <c r="D1522" s="3">
        <v>45631</v>
      </c>
      <c r="E1522" s="7">
        <v>0</v>
      </c>
      <c r="F1522" s="2">
        <v>0</v>
      </c>
      <c r="I1522" s="1">
        <f>+COUNTIF(F$3:$F1522,F1522)</f>
        <v>562</v>
      </c>
      <c r="K1522" s="132" t="str">
        <f t="shared" si="113"/>
        <v>평일</v>
      </c>
    </row>
    <row r="1523" spans="1:11" ht="21.75" customHeight="1" x14ac:dyDescent="0.25">
      <c r="A1523" s="2">
        <f t="shared" si="110"/>
        <v>2024</v>
      </c>
      <c r="B1523" s="2">
        <f t="shared" si="111"/>
        <v>12</v>
      </c>
      <c r="C1523" s="2" t="str">
        <f t="shared" si="112"/>
        <v>금</v>
      </c>
      <c r="D1523" s="3">
        <v>45632</v>
      </c>
      <c r="E1523" s="7">
        <v>0</v>
      </c>
      <c r="F1523" s="2">
        <v>0</v>
      </c>
      <c r="I1523" s="1">
        <f>+COUNTIF(F$3:$F1523,F1523)</f>
        <v>563</v>
      </c>
      <c r="K1523" s="132" t="str">
        <f t="shared" si="113"/>
        <v>평일</v>
      </c>
    </row>
    <row r="1524" spans="1:11" ht="21.75" customHeight="1" x14ac:dyDescent="0.25">
      <c r="A1524" s="2">
        <f t="shared" si="110"/>
        <v>2024</v>
      </c>
      <c r="B1524" s="2">
        <f t="shared" si="111"/>
        <v>12</v>
      </c>
      <c r="C1524" s="2" t="str">
        <f t="shared" si="112"/>
        <v>토</v>
      </c>
      <c r="D1524" s="3">
        <v>45633</v>
      </c>
      <c r="E1524" s="7">
        <v>0</v>
      </c>
      <c r="F1524" s="2">
        <v>0</v>
      </c>
      <c r="I1524" s="1">
        <f>+COUNTIF(F$3:$F1524,F1524)</f>
        <v>564</v>
      </c>
      <c r="K1524" s="132" t="str">
        <f t="shared" si="113"/>
        <v>주말</v>
      </c>
    </row>
    <row r="1525" spans="1:11" ht="21.75" customHeight="1" x14ac:dyDescent="0.25">
      <c r="A1525" s="2">
        <f t="shared" si="110"/>
        <v>2024</v>
      </c>
      <c r="B1525" s="2">
        <f t="shared" si="111"/>
        <v>12</v>
      </c>
      <c r="C1525" s="2" t="str">
        <f t="shared" si="112"/>
        <v>일</v>
      </c>
      <c r="D1525" s="3">
        <v>45634</v>
      </c>
      <c r="E1525" s="7">
        <v>0</v>
      </c>
      <c r="F1525" s="2">
        <v>0</v>
      </c>
      <c r="I1525" s="1">
        <f>+COUNTIF(F$3:$F1525,F1525)</f>
        <v>565</v>
      </c>
      <c r="K1525" s="132" t="str">
        <f t="shared" si="113"/>
        <v>주말</v>
      </c>
    </row>
    <row r="1526" spans="1:11" ht="21.75" customHeight="1" x14ac:dyDescent="0.25">
      <c r="A1526" s="2">
        <f t="shared" si="110"/>
        <v>2024</v>
      </c>
      <c r="B1526" s="2">
        <f t="shared" si="111"/>
        <v>12</v>
      </c>
      <c r="C1526" s="2" t="str">
        <f t="shared" si="112"/>
        <v>월</v>
      </c>
      <c r="D1526" s="3">
        <v>45635</v>
      </c>
      <c r="E1526" s="7">
        <v>0</v>
      </c>
      <c r="F1526" s="2">
        <v>0</v>
      </c>
      <c r="I1526" s="1">
        <f>+COUNTIF(F$3:$F1526,F1526)</f>
        <v>566</v>
      </c>
      <c r="K1526" s="132" t="str">
        <f t="shared" si="113"/>
        <v>평일</v>
      </c>
    </row>
    <row r="1527" spans="1:11" ht="21.75" customHeight="1" x14ac:dyDescent="0.25">
      <c r="A1527" s="2">
        <f t="shared" si="110"/>
        <v>2024</v>
      </c>
      <c r="B1527" s="2">
        <f t="shared" si="111"/>
        <v>12</v>
      </c>
      <c r="C1527" s="2" t="str">
        <f t="shared" si="112"/>
        <v>화</v>
      </c>
      <c r="D1527" s="3">
        <v>45636</v>
      </c>
      <c r="E1527" s="7">
        <v>0</v>
      </c>
      <c r="F1527" s="2">
        <v>0</v>
      </c>
      <c r="I1527" s="1">
        <f>+COUNTIF(F$3:$F1527,F1527)</f>
        <v>567</v>
      </c>
      <c r="K1527" s="132" t="str">
        <f t="shared" si="113"/>
        <v>평일</v>
      </c>
    </row>
    <row r="1528" spans="1:11" ht="21.75" customHeight="1" x14ac:dyDescent="0.25">
      <c r="A1528" s="2">
        <f t="shared" si="110"/>
        <v>2024</v>
      </c>
      <c r="B1528" s="2">
        <f t="shared" si="111"/>
        <v>12</v>
      </c>
      <c r="C1528" s="2" t="str">
        <f t="shared" si="112"/>
        <v>수</v>
      </c>
      <c r="D1528" s="3">
        <v>45637</v>
      </c>
      <c r="E1528" s="7">
        <v>0</v>
      </c>
      <c r="F1528" s="2">
        <v>0</v>
      </c>
      <c r="I1528" s="1">
        <f>+COUNTIF(F$3:$F1528,F1528)</f>
        <v>568</v>
      </c>
      <c r="K1528" s="132" t="str">
        <f t="shared" si="113"/>
        <v>평일</v>
      </c>
    </row>
    <row r="1529" spans="1:11" ht="21.75" customHeight="1" x14ac:dyDescent="0.25">
      <c r="A1529" s="2">
        <f t="shared" si="110"/>
        <v>2024</v>
      </c>
      <c r="B1529" s="2">
        <f t="shared" si="111"/>
        <v>12</v>
      </c>
      <c r="C1529" s="2" t="str">
        <f t="shared" si="112"/>
        <v>목</v>
      </c>
      <c r="D1529" s="3">
        <v>45638</v>
      </c>
      <c r="E1529" s="7">
        <v>0</v>
      </c>
      <c r="F1529" s="2">
        <v>0</v>
      </c>
      <c r="I1529" s="1">
        <f>+COUNTIF(F$3:$F1529,F1529)</f>
        <v>569</v>
      </c>
      <c r="K1529" s="132" t="str">
        <f t="shared" si="113"/>
        <v>평일</v>
      </c>
    </row>
    <row r="1530" spans="1:11" ht="21.75" customHeight="1" x14ac:dyDescent="0.25">
      <c r="A1530" s="2">
        <f t="shared" si="110"/>
        <v>2024</v>
      </c>
      <c r="B1530" s="2">
        <f t="shared" si="111"/>
        <v>12</v>
      </c>
      <c r="C1530" s="2" t="str">
        <f t="shared" si="112"/>
        <v>금</v>
      </c>
      <c r="D1530" s="3">
        <v>45639</v>
      </c>
      <c r="E1530" s="7">
        <v>0</v>
      </c>
      <c r="F1530" s="2">
        <v>0</v>
      </c>
      <c r="I1530" s="1">
        <f>+COUNTIF(F$3:$F1530,F1530)</f>
        <v>570</v>
      </c>
      <c r="K1530" s="132" t="str">
        <f t="shared" si="113"/>
        <v>평일</v>
      </c>
    </row>
    <row r="1531" spans="1:11" ht="21.75" customHeight="1" x14ac:dyDescent="0.25">
      <c r="A1531" s="2">
        <f t="shared" si="110"/>
        <v>2024</v>
      </c>
      <c r="B1531" s="2">
        <f t="shared" si="111"/>
        <v>12</v>
      </c>
      <c r="C1531" s="2" t="str">
        <f t="shared" si="112"/>
        <v>토</v>
      </c>
      <c r="D1531" s="3">
        <v>45640</v>
      </c>
      <c r="E1531" s="7">
        <v>0</v>
      </c>
      <c r="F1531" s="2">
        <v>0</v>
      </c>
      <c r="I1531" s="1">
        <f>+COUNTIF(F$3:$F1531,F1531)</f>
        <v>571</v>
      </c>
      <c r="K1531" s="132" t="str">
        <f t="shared" si="113"/>
        <v>주말</v>
      </c>
    </row>
    <row r="1532" spans="1:11" ht="21.75" customHeight="1" x14ac:dyDescent="0.25">
      <c r="A1532" s="2">
        <f t="shared" si="110"/>
        <v>2024</v>
      </c>
      <c r="B1532" s="2">
        <f t="shared" si="111"/>
        <v>12</v>
      </c>
      <c r="C1532" s="2" t="str">
        <f t="shared" si="112"/>
        <v>일</v>
      </c>
      <c r="D1532" s="3">
        <v>45641</v>
      </c>
      <c r="E1532" s="7">
        <v>0</v>
      </c>
      <c r="F1532" s="2">
        <v>0</v>
      </c>
      <c r="I1532" s="1">
        <f>+COUNTIF(F$3:$F1532,F1532)</f>
        <v>572</v>
      </c>
      <c r="K1532" s="132" t="str">
        <f t="shared" si="113"/>
        <v>주말</v>
      </c>
    </row>
    <row r="1533" spans="1:11" ht="21.75" customHeight="1" x14ac:dyDescent="0.25">
      <c r="A1533" s="2">
        <f t="shared" si="110"/>
        <v>2024</v>
      </c>
      <c r="B1533" s="2">
        <f t="shared" si="111"/>
        <v>12</v>
      </c>
      <c r="C1533" s="2" t="str">
        <f t="shared" si="112"/>
        <v>월</v>
      </c>
      <c r="D1533" s="3">
        <v>45642</v>
      </c>
      <c r="E1533" s="7">
        <v>0</v>
      </c>
      <c r="F1533" s="2">
        <v>0</v>
      </c>
      <c r="I1533" s="1">
        <f>+COUNTIF(F$3:$F1533,F1533)</f>
        <v>573</v>
      </c>
      <c r="K1533" s="132" t="str">
        <f t="shared" si="113"/>
        <v>평일</v>
      </c>
    </row>
    <row r="1534" spans="1:11" ht="21.75" customHeight="1" x14ac:dyDescent="0.25">
      <c r="A1534" s="2">
        <f t="shared" si="110"/>
        <v>2024</v>
      </c>
      <c r="B1534" s="2">
        <f t="shared" si="111"/>
        <v>12</v>
      </c>
      <c r="C1534" s="2" t="str">
        <f t="shared" si="112"/>
        <v>화</v>
      </c>
      <c r="D1534" s="3">
        <v>45643</v>
      </c>
      <c r="E1534" s="7">
        <v>0</v>
      </c>
      <c r="F1534" s="2">
        <v>0</v>
      </c>
      <c r="I1534" s="1">
        <f>+COUNTIF(F$3:$F1534,F1534)</f>
        <v>574</v>
      </c>
      <c r="K1534" s="132" t="str">
        <f t="shared" si="113"/>
        <v>평일</v>
      </c>
    </row>
    <row r="1535" spans="1:11" ht="21.75" customHeight="1" x14ac:dyDescent="0.25">
      <c r="A1535" s="2">
        <f t="shared" si="110"/>
        <v>2024</v>
      </c>
      <c r="B1535" s="2">
        <f t="shared" si="111"/>
        <v>12</v>
      </c>
      <c r="C1535" s="2" t="str">
        <f t="shared" si="112"/>
        <v>수</v>
      </c>
      <c r="D1535" s="3">
        <v>45644</v>
      </c>
      <c r="E1535" s="7">
        <v>0</v>
      </c>
      <c r="F1535" s="2">
        <v>0</v>
      </c>
      <c r="I1535" s="1">
        <f>+COUNTIF(F$3:$F1535,F1535)</f>
        <v>575</v>
      </c>
      <c r="K1535" s="132" t="str">
        <f t="shared" si="113"/>
        <v>평일</v>
      </c>
    </row>
    <row r="1536" spans="1:11" ht="21.75" customHeight="1" x14ac:dyDescent="0.25">
      <c r="A1536" s="2">
        <f t="shared" si="110"/>
        <v>2024</v>
      </c>
      <c r="B1536" s="2">
        <f t="shared" si="111"/>
        <v>12</v>
      </c>
      <c r="C1536" s="2" t="str">
        <f t="shared" si="112"/>
        <v>목</v>
      </c>
      <c r="D1536" s="3">
        <v>45645</v>
      </c>
      <c r="E1536" s="7">
        <v>0</v>
      </c>
      <c r="F1536" s="2">
        <v>0</v>
      </c>
      <c r="I1536" s="1">
        <f>+COUNTIF(F$3:$F1536,F1536)</f>
        <v>576</v>
      </c>
      <c r="K1536" s="132" t="str">
        <f t="shared" si="113"/>
        <v>평일</v>
      </c>
    </row>
    <row r="1537" spans="1:11" ht="21.75" customHeight="1" x14ac:dyDescent="0.25">
      <c r="A1537" s="2">
        <f t="shared" si="110"/>
        <v>2024</v>
      </c>
      <c r="B1537" s="2">
        <f t="shared" si="111"/>
        <v>12</v>
      </c>
      <c r="C1537" s="2" t="str">
        <f t="shared" si="112"/>
        <v>금</v>
      </c>
      <c r="D1537" s="3">
        <v>45646</v>
      </c>
      <c r="E1537" s="7">
        <v>0</v>
      </c>
      <c r="F1537" s="2">
        <v>0</v>
      </c>
      <c r="I1537" s="1">
        <f>+COUNTIF(F$3:$F1537,F1537)</f>
        <v>577</v>
      </c>
      <c r="K1537" s="132" t="str">
        <f t="shared" si="113"/>
        <v>평일</v>
      </c>
    </row>
    <row r="1538" spans="1:11" ht="21.75" customHeight="1" x14ac:dyDescent="0.25">
      <c r="A1538" s="2">
        <f t="shared" si="110"/>
        <v>2024</v>
      </c>
      <c r="B1538" s="2">
        <f t="shared" si="111"/>
        <v>12</v>
      </c>
      <c r="C1538" s="2" t="str">
        <f t="shared" si="112"/>
        <v>토</v>
      </c>
      <c r="D1538" s="3">
        <v>45647</v>
      </c>
      <c r="E1538" s="7">
        <v>0</v>
      </c>
      <c r="F1538" s="2">
        <v>0</v>
      </c>
      <c r="I1538" s="1">
        <f>+COUNTIF(F$3:$F1538,F1538)</f>
        <v>578</v>
      </c>
      <c r="K1538" s="132" t="str">
        <f t="shared" si="113"/>
        <v>주말</v>
      </c>
    </row>
    <row r="1539" spans="1:11" ht="21.75" customHeight="1" x14ac:dyDescent="0.25">
      <c r="A1539" s="2">
        <f t="shared" si="110"/>
        <v>2024</v>
      </c>
      <c r="B1539" s="2">
        <f t="shared" si="111"/>
        <v>12</v>
      </c>
      <c r="C1539" s="2" t="str">
        <f t="shared" si="112"/>
        <v>일</v>
      </c>
      <c r="D1539" s="3">
        <v>45648</v>
      </c>
      <c r="E1539" s="7">
        <v>0</v>
      </c>
      <c r="F1539" s="2">
        <v>0</v>
      </c>
      <c r="I1539" s="1">
        <f>+COUNTIF(F$3:$F1539,F1539)</f>
        <v>579</v>
      </c>
      <c r="K1539" s="132" t="str">
        <f t="shared" si="113"/>
        <v>주말</v>
      </c>
    </row>
    <row r="1540" spans="1:11" ht="21.75" customHeight="1" x14ac:dyDescent="0.25">
      <c r="A1540" s="2">
        <f t="shared" ref="A1540:A1548" si="114">+YEAR(D1540)</f>
        <v>2024</v>
      </c>
      <c r="B1540" s="2">
        <f t="shared" ref="B1540:B1548" si="115">+MONTH(D1540)</f>
        <v>12</v>
      </c>
      <c r="C1540" s="2" t="str">
        <f t="shared" ref="C1540:C1548" si="116">+TEXT(D1540,"aaa")</f>
        <v>월</v>
      </c>
      <c r="D1540" s="3">
        <v>45649</v>
      </c>
      <c r="E1540" s="7">
        <v>0</v>
      </c>
      <c r="F1540" s="2">
        <v>0</v>
      </c>
      <c r="I1540" s="1">
        <f>+COUNTIF(F$3:$F1540,F1540)</f>
        <v>580</v>
      </c>
      <c r="K1540" s="132" t="str">
        <f t="shared" ref="K1540:K1548" si="117">+IF(OR(C1540="토",C1540="일"),"주말","평일")</f>
        <v>평일</v>
      </c>
    </row>
    <row r="1541" spans="1:11" ht="21.75" customHeight="1" x14ac:dyDescent="0.25">
      <c r="A1541" s="2">
        <f t="shared" si="114"/>
        <v>2024</v>
      </c>
      <c r="B1541" s="2">
        <f t="shared" si="115"/>
        <v>12</v>
      </c>
      <c r="C1541" s="2" t="str">
        <f t="shared" si="116"/>
        <v>화</v>
      </c>
      <c r="D1541" s="3">
        <v>45650</v>
      </c>
      <c r="E1541" s="7">
        <v>0</v>
      </c>
      <c r="F1541" s="2">
        <v>0</v>
      </c>
      <c r="I1541" s="1">
        <f>+COUNTIF(F$3:$F1541,F1541)</f>
        <v>581</v>
      </c>
      <c r="K1541" s="132" t="str">
        <f t="shared" si="117"/>
        <v>평일</v>
      </c>
    </row>
    <row r="1542" spans="1:11" ht="21.75" customHeight="1" x14ac:dyDescent="0.25">
      <c r="A1542" s="2">
        <f t="shared" si="114"/>
        <v>2024</v>
      </c>
      <c r="B1542" s="2">
        <f t="shared" si="115"/>
        <v>12</v>
      </c>
      <c r="C1542" s="2" t="str">
        <f t="shared" si="116"/>
        <v>수</v>
      </c>
      <c r="D1542" s="3">
        <v>45651</v>
      </c>
      <c r="E1542" s="7">
        <v>0</v>
      </c>
      <c r="F1542" s="2">
        <v>0</v>
      </c>
      <c r="I1542" s="1">
        <f>+COUNTIF(F$3:$F1542,F1542)</f>
        <v>582</v>
      </c>
      <c r="K1542" s="132" t="str">
        <f t="shared" si="117"/>
        <v>평일</v>
      </c>
    </row>
    <row r="1543" spans="1:11" ht="21.75" customHeight="1" x14ac:dyDescent="0.25">
      <c r="A1543" s="2">
        <f t="shared" si="114"/>
        <v>2024</v>
      </c>
      <c r="B1543" s="2">
        <f t="shared" si="115"/>
        <v>12</v>
      </c>
      <c r="C1543" s="2" t="str">
        <f t="shared" si="116"/>
        <v>목</v>
      </c>
      <c r="D1543" s="3">
        <v>45652</v>
      </c>
      <c r="E1543" s="7">
        <v>0</v>
      </c>
      <c r="F1543" s="2">
        <v>0</v>
      </c>
      <c r="I1543" s="1">
        <f>+COUNTIF(F$3:$F1543,F1543)</f>
        <v>583</v>
      </c>
      <c r="K1543" s="132" t="str">
        <f t="shared" si="117"/>
        <v>평일</v>
      </c>
    </row>
    <row r="1544" spans="1:11" ht="21.75" customHeight="1" x14ac:dyDescent="0.25">
      <c r="A1544" s="2">
        <f t="shared" si="114"/>
        <v>2024</v>
      </c>
      <c r="B1544" s="2">
        <f t="shared" si="115"/>
        <v>12</v>
      </c>
      <c r="C1544" s="2" t="str">
        <f t="shared" si="116"/>
        <v>금</v>
      </c>
      <c r="D1544" s="3">
        <v>45653</v>
      </c>
      <c r="E1544" s="7">
        <v>0</v>
      </c>
      <c r="F1544" s="2">
        <v>0</v>
      </c>
      <c r="I1544" s="1">
        <f>+COUNTIF(F$3:$F1544,F1544)</f>
        <v>584</v>
      </c>
      <c r="K1544" s="132" t="str">
        <f t="shared" si="117"/>
        <v>평일</v>
      </c>
    </row>
    <row r="1545" spans="1:11" ht="21.75" customHeight="1" x14ac:dyDescent="0.25">
      <c r="A1545" s="2">
        <f t="shared" si="114"/>
        <v>2024</v>
      </c>
      <c r="B1545" s="2">
        <f t="shared" si="115"/>
        <v>12</v>
      </c>
      <c r="C1545" s="2" t="str">
        <f t="shared" si="116"/>
        <v>토</v>
      </c>
      <c r="D1545" s="3">
        <v>45654</v>
      </c>
      <c r="E1545" s="7">
        <v>0</v>
      </c>
      <c r="F1545" s="2">
        <v>0</v>
      </c>
      <c r="I1545" s="1">
        <f>+COUNTIF(F$3:$F1545,F1545)</f>
        <v>585</v>
      </c>
      <c r="K1545" s="132" t="str">
        <f t="shared" si="117"/>
        <v>주말</v>
      </c>
    </row>
    <row r="1546" spans="1:11" ht="21.75" customHeight="1" x14ac:dyDescent="0.25">
      <c r="A1546" s="2">
        <f t="shared" si="114"/>
        <v>2024</v>
      </c>
      <c r="B1546" s="2">
        <f t="shared" si="115"/>
        <v>12</v>
      </c>
      <c r="C1546" s="2" t="str">
        <f t="shared" si="116"/>
        <v>일</v>
      </c>
      <c r="D1546" s="3">
        <v>45655</v>
      </c>
      <c r="E1546" s="7">
        <v>0</v>
      </c>
      <c r="F1546" s="2">
        <v>0</v>
      </c>
      <c r="I1546" s="1">
        <f>+COUNTIF(F$3:$F1546,F1546)</f>
        <v>586</v>
      </c>
      <c r="K1546" s="132" t="str">
        <f t="shared" si="117"/>
        <v>주말</v>
      </c>
    </row>
    <row r="1547" spans="1:11" ht="21.75" customHeight="1" x14ac:dyDescent="0.25">
      <c r="A1547" s="2">
        <f t="shared" si="114"/>
        <v>2024</v>
      </c>
      <c r="B1547" s="2">
        <f t="shared" si="115"/>
        <v>12</v>
      </c>
      <c r="C1547" s="2" t="str">
        <f t="shared" si="116"/>
        <v>월</v>
      </c>
      <c r="D1547" s="3">
        <v>45656</v>
      </c>
      <c r="E1547" s="7">
        <v>0</v>
      </c>
      <c r="F1547" s="2">
        <v>0</v>
      </c>
      <c r="I1547" s="1">
        <f>+COUNTIF(F$3:$F1547,F1547)</f>
        <v>587</v>
      </c>
      <c r="K1547" s="132" t="str">
        <f t="shared" si="117"/>
        <v>평일</v>
      </c>
    </row>
    <row r="1548" spans="1:11" ht="21.75" customHeight="1" x14ac:dyDescent="0.25">
      <c r="A1548" s="2">
        <f t="shared" si="114"/>
        <v>2024</v>
      </c>
      <c r="B1548" s="2">
        <f t="shared" si="115"/>
        <v>12</v>
      </c>
      <c r="C1548" s="2" t="str">
        <f t="shared" si="116"/>
        <v>화</v>
      </c>
      <c r="D1548" s="3">
        <v>45657</v>
      </c>
      <c r="E1548" s="7">
        <v>0</v>
      </c>
      <c r="F1548" s="2">
        <v>0</v>
      </c>
      <c r="I1548" s="1">
        <f>+COUNTIF(F$3:$F1548,F1548)</f>
        <v>588</v>
      </c>
      <c r="K1548" s="132" t="str">
        <f t="shared" si="117"/>
        <v>평일</v>
      </c>
    </row>
    <row r="1549" spans="1:11" ht="21.75" customHeight="1" x14ac:dyDescent="0.25">
      <c r="D1549" s="3"/>
    </row>
    <row r="1550" spans="1:11" ht="21.75" customHeight="1" x14ac:dyDescent="0.25">
      <c r="D1550" s="3"/>
    </row>
    <row r="1551" spans="1:11" ht="21.75" customHeight="1" x14ac:dyDescent="0.25">
      <c r="D1551" s="3"/>
    </row>
    <row r="1552" spans="1:11" ht="21.75" customHeight="1" x14ac:dyDescent="0.25">
      <c r="D1552" s="3"/>
    </row>
    <row r="1553" spans="4:4" ht="21.75" customHeight="1" x14ac:dyDescent="0.25">
      <c r="D1553" s="3"/>
    </row>
    <row r="1554" spans="4:4" ht="21.75" customHeight="1" x14ac:dyDescent="0.25">
      <c r="D1554" s="3"/>
    </row>
    <row r="1555" spans="4:4" ht="21.75" customHeight="1" x14ac:dyDescent="0.25">
      <c r="D1555" s="3"/>
    </row>
    <row r="1556" spans="4:4" ht="21.75" customHeight="1" x14ac:dyDescent="0.25">
      <c r="D1556" s="3"/>
    </row>
    <row r="1557" spans="4:4" ht="21.75" customHeight="1" x14ac:dyDescent="0.25">
      <c r="D1557" s="3"/>
    </row>
    <row r="1558" spans="4:4" ht="21.75" customHeight="1" x14ac:dyDescent="0.25">
      <c r="D1558" s="3"/>
    </row>
    <row r="1559" spans="4:4" ht="21.75" customHeight="1" x14ac:dyDescent="0.25">
      <c r="D1559" s="3"/>
    </row>
    <row r="1560" spans="4:4" ht="21.75" customHeight="1" x14ac:dyDescent="0.25">
      <c r="D1560" s="3"/>
    </row>
    <row r="1561" spans="4:4" ht="21.75" customHeight="1" x14ac:dyDescent="0.25">
      <c r="D1561" s="3"/>
    </row>
    <row r="1562" spans="4:4" ht="21.75" customHeight="1" x14ac:dyDescent="0.25">
      <c r="D1562" s="3"/>
    </row>
    <row r="1563" spans="4:4" ht="21.75" customHeight="1" x14ac:dyDescent="0.25">
      <c r="D1563" s="3"/>
    </row>
    <row r="1564" spans="4:4" ht="21.75" customHeight="1" x14ac:dyDescent="0.25">
      <c r="D1564" s="3"/>
    </row>
    <row r="1565" spans="4:4" ht="21.75" customHeight="1" x14ac:dyDescent="0.25">
      <c r="D1565" s="3"/>
    </row>
    <row r="1566" spans="4:4" ht="21.75" customHeight="1" x14ac:dyDescent="0.25">
      <c r="D1566" s="3"/>
    </row>
    <row r="1567" spans="4:4" ht="21.75" customHeight="1" x14ac:dyDescent="0.25">
      <c r="D1567" s="3"/>
    </row>
    <row r="1568" spans="4:4" ht="21.75" customHeight="1" x14ac:dyDescent="0.25">
      <c r="D1568" s="3"/>
    </row>
    <row r="1569" spans="4:4" ht="21.75" customHeight="1" x14ac:dyDescent="0.25">
      <c r="D1569" s="3"/>
    </row>
    <row r="1570" spans="4:4" ht="21.75" customHeight="1" x14ac:dyDescent="0.25">
      <c r="D1570" s="3"/>
    </row>
    <row r="1571" spans="4:4" ht="21.75" customHeight="1" x14ac:dyDescent="0.25">
      <c r="D1571" s="3"/>
    </row>
    <row r="1572" spans="4:4" ht="21.75" customHeight="1" x14ac:dyDescent="0.25">
      <c r="D1572" s="3"/>
    </row>
    <row r="1573" spans="4:4" ht="21.75" customHeight="1" x14ac:dyDescent="0.25">
      <c r="D1573" s="3"/>
    </row>
    <row r="1574" spans="4:4" ht="21.75" customHeight="1" x14ac:dyDescent="0.25">
      <c r="D1574" s="3"/>
    </row>
    <row r="1575" spans="4:4" ht="21.75" customHeight="1" x14ac:dyDescent="0.25">
      <c r="D1575" s="3"/>
    </row>
    <row r="1576" spans="4:4" ht="21.75" customHeight="1" x14ac:dyDescent="0.25">
      <c r="D1576" s="3"/>
    </row>
    <row r="1577" spans="4:4" ht="21.75" customHeight="1" x14ac:dyDescent="0.25">
      <c r="D1577" s="3"/>
    </row>
    <row r="1578" spans="4:4" ht="21.75" customHeight="1" x14ac:dyDescent="0.25">
      <c r="D1578" s="3"/>
    </row>
    <row r="1579" spans="4:4" ht="21.75" customHeight="1" x14ac:dyDescent="0.25">
      <c r="D1579" s="3"/>
    </row>
    <row r="1580" spans="4:4" ht="21.75" customHeight="1" x14ac:dyDescent="0.25">
      <c r="D1580" s="3"/>
    </row>
    <row r="1581" spans="4:4" ht="21.75" customHeight="1" x14ac:dyDescent="0.25">
      <c r="D1581" s="3"/>
    </row>
  </sheetData>
  <autoFilter ref="A2:K1548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3" tint="-0.249977111117893"/>
    <pageSetUpPr fitToPage="1"/>
  </sheetPr>
  <dimension ref="A1:AD45"/>
  <sheetViews>
    <sheetView showGridLines="0" showZeros="0" topLeftCell="A37" workbookViewId="0">
      <selection activeCell="I43" sqref="I43:J43"/>
    </sheetView>
  </sheetViews>
  <sheetFormatPr defaultRowHeight="31.5" customHeight="1" x14ac:dyDescent="0.25"/>
  <cols>
    <col min="1" max="1" width="9.140625" style="128" customWidth="1"/>
    <col min="2" max="2" width="13.28515625" style="128" customWidth="1"/>
    <col min="3" max="15" width="8.7109375" style="128" customWidth="1"/>
    <col min="16" max="19" width="8.7109375" customWidth="1"/>
    <col min="20" max="20" width="8.7109375" style="23" customWidth="1"/>
  </cols>
  <sheetData>
    <row r="1" spans="1:30" ht="85.15" customHeight="1" x14ac:dyDescent="0.25">
      <c r="A1" s="771" t="s">
        <v>247</v>
      </c>
      <c r="B1" s="772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773"/>
      <c r="S1" s="773"/>
      <c r="T1" s="773"/>
    </row>
    <row r="2" spans="1:30" ht="31.5" customHeight="1" x14ac:dyDescent="0.25">
      <c r="A2" s="774" t="str">
        <f>+일자별요약v2!A2</f>
        <v>2024-04-08   (45일차)</v>
      </c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</row>
    <row r="3" spans="1:30" ht="31.5" customHeight="1" x14ac:dyDescent="0.25">
      <c r="A3" s="774" t="str">
        <f>+일자별요약v2!$J$81</f>
        <v>&lt; 6주 + 3일차 &gt;</v>
      </c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</row>
    <row r="4" spans="1:30" ht="31.5" customHeight="1" thickBot="1" x14ac:dyDescent="0.3">
      <c r="A4" s="762" t="s">
        <v>183</v>
      </c>
      <c r="O4" s="712" t="s">
        <v>255</v>
      </c>
      <c r="P4" s="681"/>
      <c r="Q4" s="681"/>
      <c r="R4" s="681"/>
      <c r="S4" s="681"/>
      <c r="T4" s="681"/>
    </row>
    <row r="5" spans="1:30" ht="72" customHeight="1" x14ac:dyDescent="0.25">
      <c r="A5" s="995" t="s">
        <v>29</v>
      </c>
      <c r="B5" s="996"/>
      <c r="C5" s="788">
        <f>+$I$12</f>
        <v>6.4285714285714288</v>
      </c>
      <c r="D5" s="731"/>
      <c r="E5" s="731"/>
      <c r="F5" s="731" t="s">
        <v>137</v>
      </c>
      <c r="G5" s="731"/>
      <c r="H5" s="731"/>
      <c r="I5" s="731" t="s">
        <v>99</v>
      </c>
      <c r="J5" s="731"/>
      <c r="K5" s="731"/>
      <c r="L5" s="731" t="s">
        <v>140</v>
      </c>
      <c r="M5" s="731"/>
      <c r="N5" s="941" t="s">
        <v>264</v>
      </c>
      <c r="O5" s="778">
        <f>+$J$7</f>
        <v>40000</v>
      </c>
      <c r="P5" s="783">
        <f>+O5-5000</f>
        <v>35000</v>
      </c>
      <c r="Q5" s="783">
        <f>+P5-5000</f>
        <v>30000</v>
      </c>
      <c r="R5" s="783">
        <f>+Q5-5000</f>
        <v>25000</v>
      </c>
      <c r="S5" s="783">
        <f>+R5-5000</f>
        <v>20000</v>
      </c>
      <c r="T5" s="780">
        <f>+S5-5000</f>
        <v>15000</v>
      </c>
    </row>
    <row r="6" spans="1:30" ht="51" customHeight="1" x14ac:dyDescent="0.25">
      <c r="A6" s="997"/>
      <c r="B6" s="998"/>
      <c r="C6" s="732" t="s">
        <v>22</v>
      </c>
      <c r="D6" s="733" t="s">
        <v>138</v>
      </c>
      <c r="E6" s="733" t="s">
        <v>139</v>
      </c>
      <c r="F6" s="732" t="s">
        <v>22</v>
      </c>
      <c r="G6" s="733" t="s">
        <v>138</v>
      </c>
      <c r="H6" s="733" t="s">
        <v>139</v>
      </c>
      <c r="I6" s="732" t="s">
        <v>22</v>
      </c>
      <c r="J6" s="733" t="s">
        <v>138</v>
      </c>
      <c r="K6" s="733" t="s">
        <v>139</v>
      </c>
      <c r="L6" s="732" t="s">
        <v>9</v>
      </c>
      <c r="M6" s="733" t="s">
        <v>1</v>
      </c>
      <c r="N6" s="942"/>
      <c r="O6" s="779">
        <f>+O5/$I$7</f>
        <v>430.10752688172045</v>
      </c>
      <c r="P6" s="784">
        <f t="shared" ref="P6:T6" si="0">+P5/$I$7</f>
        <v>376.3440860215054</v>
      </c>
      <c r="Q6" s="784">
        <f t="shared" si="0"/>
        <v>322.58064516129031</v>
      </c>
      <c r="R6" s="784">
        <f t="shared" si="0"/>
        <v>268.81720430107526</v>
      </c>
      <c r="S6" s="784">
        <f t="shared" si="0"/>
        <v>215.05376344086022</v>
      </c>
      <c r="T6" s="781">
        <f t="shared" si="0"/>
        <v>161.29032258064515</v>
      </c>
    </row>
    <row r="7" spans="1:30" ht="51" customHeight="1" thickBot="1" x14ac:dyDescent="0.3">
      <c r="A7" s="734" t="s">
        <v>24</v>
      </c>
      <c r="B7" s="735"/>
      <c r="C7" s="736">
        <f>+일자별요약v2!$F$8</f>
        <v>45</v>
      </c>
      <c r="D7" s="737">
        <f ca="1">+일자별요약v2!$I$8</f>
        <v>9376</v>
      </c>
      <c r="E7" s="737">
        <f ca="1">+D7/C7</f>
        <v>208.35555555555555</v>
      </c>
      <c r="F7" s="738">
        <f>+I7-C7</f>
        <v>48</v>
      </c>
      <c r="G7" s="739">
        <f ca="1">+J7-D7</f>
        <v>30624</v>
      </c>
      <c r="H7" s="739">
        <f ca="1">+G7/F7</f>
        <v>638</v>
      </c>
      <c r="I7" s="737">
        <f>+일자별요약v2!E8</f>
        <v>93</v>
      </c>
      <c r="J7" s="739">
        <v>40000</v>
      </c>
      <c r="K7" s="739">
        <f>+J7/I7</f>
        <v>430.10752688172045</v>
      </c>
      <c r="L7" s="740">
        <f t="shared" ref="L7:M7" si="1">+C7/I7</f>
        <v>0.4838709677419355</v>
      </c>
      <c r="M7" s="740">
        <f t="shared" ca="1" si="1"/>
        <v>0.2344</v>
      </c>
      <c r="N7" s="682">
        <f ca="1">+E7-K7</f>
        <v>-221.75197132616489</v>
      </c>
      <c r="O7" s="711">
        <f ca="1">+$E$7-O6</f>
        <v>-221.75197132616489</v>
      </c>
      <c r="P7" s="785">
        <f t="shared" ref="P7:T7" ca="1" si="2">+$E$7-P6</f>
        <v>-167.98853046594985</v>
      </c>
      <c r="Q7" s="785">
        <f t="shared" ca="1" si="2"/>
        <v>-114.22508960573475</v>
      </c>
      <c r="R7" s="785">
        <f t="shared" ca="1" si="2"/>
        <v>-60.46164874551971</v>
      </c>
      <c r="S7" s="785">
        <f t="shared" ca="1" si="2"/>
        <v>-6.6982078853046687</v>
      </c>
      <c r="T7" s="782">
        <f t="shared" ca="1" si="2"/>
        <v>47.065232974910401</v>
      </c>
    </row>
    <row r="8" spans="1:30" s="684" customFormat="1" ht="31.5" customHeight="1" x14ac:dyDescent="0.25">
      <c r="A8" s="758" t="s">
        <v>265</v>
      </c>
      <c r="B8" s="699"/>
      <c r="C8" s="699"/>
      <c r="D8" s="699"/>
      <c r="E8" s="699"/>
      <c r="F8" s="699"/>
      <c r="G8" s="699"/>
      <c r="H8" s="699"/>
      <c r="I8" s="699"/>
      <c r="J8" s="699"/>
      <c r="K8" s="699"/>
      <c r="L8" s="699"/>
      <c r="M8" s="699"/>
      <c r="N8" s="699"/>
      <c r="O8" s="699"/>
      <c r="P8" s="700"/>
      <c r="Q8" s="700"/>
      <c r="R8" s="700"/>
      <c r="S8" s="700"/>
      <c r="T8" s="787" t="s">
        <v>270</v>
      </c>
    </row>
    <row r="9" spans="1:30" ht="18.600000000000001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T9"/>
    </row>
    <row r="10" spans="1:30" ht="31.5" customHeight="1" x14ac:dyDescent="0.25">
      <c r="A10" s="762" t="s">
        <v>249</v>
      </c>
    </row>
    <row r="11" spans="1:30" s="36" customFormat="1" ht="46.15" customHeight="1" x14ac:dyDescent="0.25">
      <c r="A11" s="741" t="s">
        <v>19</v>
      </c>
      <c r="B11" s="741"/>
      <c r="C11" s="742" t="s">
        <v>6</v>
      </c>
      <c r="D11" s="742"/>
      <c r="E11" s="743" t="s">
        <v>7</v>
      </c>
      <c r="F11" s="743"/>
      <c r="G11" s="744" t="s">
        <v>22</v>
      </c>
      <c r="H11" s="744"/>
      <c r="I11" s="743" t="s">
        <v>111</v>
      </c>
      <c r="J11" s="743"/>
      <c r="K11" s="745" t="s">
        <v>245</v>
      </c>
      <c r="L11" s="745"/>
      <c r="M11" s="743" t="s">
        <v>251</v>
      </c>
      <c r="N11" s="673"/>
      <c r="O11" s="743" t="s">
        <v>267</v>
      </c>
      <c r="P11" s="673"/>
      <c r="Q11" s="675" t="s">
        <v>252</v>
      </c>
      <c r="R11" s="674"/>
      <c r="S11" s="675" t="s">
        <v>256</v>
      </c>
      <c r="T11" s="674"/>
    </row>
    <row r="12" spans="1:30" s="36" customFormat="1" ht="43.15" customHeight="1" x14ac:dyDescent="0.25">
      <c r="A12" s="746" t="s">
        <v>24</v>
      </c>
      <c r="B12" s="746"/>
      <c r="C12" s="747">
        <v>45346</v>
      </c>
      <c r="D12" s="747"/>
      <c r="E12" s="747">
        <v>45438</v>
      </c>
      <c r="F12" s="747"/>
      <c r="G12" s="748">
        <f>+E12-C12+1</f>
        <v>93</v>
      </c>
      <c r="H12" s="748"/>
      <c r="I12" s="749">
        <f>+일자별요약v2!$F$8/7</f>
        <v>6.4285714285714288</v>
      </c>
      <c r="J12" s="750"/>
      <c r="K12" s="747" t="str">
        <f>+TEXT(C12+I12*7-1,"yy.mm.dd") &amp;TEXT(C12+I12*7-1," (aaa)")</f>
        <v>24.04.08 (월)</v>
      </c>
      <c r="L12" s="747"/>
      <c r="M12" s="751">
        <f>+G12/7-I12</f>
        <v>6.8571428571428577</v>
      </c>
      <c r="N12" s="676"/>
      <c r="O12" s="776">
        <f>+SUMIFS(요약!$L$11:$L$146,요약!$B$11:$B$146,"&lt;="&amp;$I12)</f>
        <v>8588</v>
      </c>
      <c r="P12" s="777"/>
      <c r="Q12" s="677">
        <f>+O12/I12</f>
        <v>1335.911111111111</v>
      </c>
      <c r="R12" s="677"/>
      <c r="S12" s="677">
        <f>+Q12*일자별요약v2!$O$8</f>
        <v>17748.533333333333</v>
      </c>
      <c r="T12" s="677"/>
      <c r="U12" s="522"/>
      <c r="V12" s="195"/>
    </row>
    <row r="13" spans="1:30" s="36" customFormat="1" ht="43.15" customHeight="1" x14ac:dyDescent="0.25">
      <c r="A13" s="752" t="s">
        <v>32</v>
      </c>
      <c r="B13" s="752"/>
      <c r="C13" s="753">
        <v>45195</v>
      </c>
      <c r="D13" s="753"/>
      <c r="E13" s="753">
        <v>45291</v>
      </c>
      <c r="F13" s="753"/>
      <c r="G13" s="754">
        <f>+E13-C13+1</f>
        <v>97</v>
      </c>
      <c r="H13" s="754"/>
      <c r="I13" s="755">
        <f>+I12</f>
        <v>6.4285714285714288</v>
      </c>
      <c r="J13" s="756"/>
      <c r="K13" s="753" t="str">
        <f>+TEXT(C13+I13*7-1,"yy.mm.dd") &amp;TEXT(C13+I13*7-1," (aaa)")</f>
        <v>23.11.09 (목)</v>
      </c>
      <c r="L13" s="753"/>
      <c r="M13" s="757">
        <f>+G13/7-I13</f>
        <v>7.4285714285714288</v>
      </c>
      <c r="N13" s="678"/>
      <c r="O13" s="679">
        <f>+SUMIFS(요약!$K$11:$K$146,요약!$B$11:$B$146,"&lt;="&amp;$I13)</f>
        <v>9594</v>
      </c>
      <c r="P13" s="680"/>
      <c r="Q13" s="680">
        <f>+O13/I13</f>
        <v>1492.3999999999999</v>
      </c>
      <c r="R13" s="680"/>
      <c r="S13" s="687" t="str">
        <f>+LEFT(일자별요약v2!$J$78,FIND("/",일자별요약v2!$J$78)-1)&amp;"명"</f>
        <v>28,602명</v>
      </c>
      <c r="T13" s="678"/>
    </row>
    <row r="14" spans="1:30" s="55" customFormat="1" ht="25.9" customHeight="1" x14ac:dyDescent="0.25">
      <c r="A14" s="758" t="s">
        <v>265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686">
        <f>+O12-O13</f>
        <v>-1006</v>
      </c>
      <c r="P14" s="686"/>
      <c r="Q14" s="686">
        <f>+Q12-Q13</f>
        <v>-156.48888888888882</v>
      </c>
      <c r="R14" s="686"/>
      <c r="T14" s="295"/>
    </row>
    <row r="16" spans="1:30" s="688" customFormat="1" ht="31.5" customHeight="1" thickBot="1" x14ac:dyDescent="0.3">
      <c r="A16" s="762" t="s">
        <v>253</v>
      </c>
      <c r="B16" s="691"/>
      <c r="C16" s="720"/>
      <c r="D16" s="720"/>
      <c r="E16" s="691"/>
      <c r="F16" s="691"/>
      <c r="G16" s="691" t="s">
        <v>144</v>
      </c>
      <c r="H16" s="691"/>
      <c r="I16" s="691" t="s">
        <v>144</v>
      </c>
      <c r="J16" s="691"/>
      <c r="K16" s="691">
        <v>0</v>
      </c>
      <c r="L16" s="691"/>
      <c r="M16" s="691"/>
      <c r="N16" s="691"/>
      <c r="O16" s="691"/>
      <c r="P16" s="691"/>
      <c r="Q16" s="691"/>
      <c r="R16" s="691"/>
      <c r="S16" s="691"/>
      <c r="T16" s="710" t="s">
        <v>254</v>
      </c>
      <c r="AD16" s="689"/>
    </row>
    <row r="17" spans="1:30" s="684" customFormat="1" ht="31.5" customHeight="1" x14ac:dyDescent="0.25">
      <c r="A17" s="692" t="s">
        <v>250</v>
      </c>
      <c r="B17" s="693"/>
      <c r="C17" s="721" t="s">
        <v>257</v>
      </c>
      <c r="D17" s="722"/>
      <c r="E17" s="716" t="s">
        <v>3</v>
      </c>
      <c r="F17" s="696"/>
      <c r="G17" s="693" t="s">
        <v>5</v>
      </c>
      <c r="H17" s="694"/>
      <c r="I17" s="695" t="s">
        <v>4</v>
      </c>
      <c r="J17" s="696"/>
      <c r="K17" s="693" t="s">
        <v>10</v>
      </c>
      <c r="L17" s="694"/>
      <c r="M17" s="695" t="s">
        <v>11</v>
      </c>
      <c r="N17" s="696"/>
      <c r="O17" s="693" t="s">
        <v>12</v>
      </c>
      <c r="P17" s="694"/>
      <c r="Q17" s="695" t="s">
        <v>13</v>
      </c>
      <c r="R17" s="696"/>
      <c r="S17" s="693" t="s">
        <v>14</v>
      </c>
      <c r="T17" s="694"/>
      <c r="U17" s="690"/>
      <c r="V17" s="683"/>
      <c r="W17" s="683"/>
      <c r="X17" s="683"/>
      <c r="Y17" s="683"/>
      <c r="AD17" s="685"/>
    </row>
    <row r="18" spans="1:30" s="684" customFormat="1" ht="31.5" customHeight="1" x14ac:dyDescent="0.25">
      <c r="A18" s="707">
        <f>+일자별요약v2!A144</f>
        <v>1</v>
      </c>
      <c r="B18" s="713"/>
      <c r="C18" s="723">
        <f>+IF($A18&lt;=$I$12,일자별요약v2!C179,0)</f>
        <v>2263</v>
      </c>
      <c r="D18" s="724"/>
      <c r="E18" s="717">
        <f>+IF($A18&lt;=$I$12,일자별요약v2!C144,0)</f>
        <v>7509</v>
      </c>
      <c r="F18" s="702"/>
      <c r="G18" s="701">
        <f>+IF($A18&lt;=$I$12,일자별요약v2!D144,0)</f>
        <v>845</v>
      </c>
      <c r="H18" s="702"/>
      <c r="I18" s="701">
        <f>+IF($A18&lt;=$I$12,일자별요약v2!E144,0)</f>
        <v>810</v>
      </c>
      <c r="J18" s="702"/>
      <c r="K18" s="701">
        <f>+IF($A18&lt;=$I$12,일자별요약v2!F144,0)</f>
        <v>1920</v>
      </c>
      <c r="L18" s="702"/>
      <c r="M18" s="701">
        <f>+IF($A18&lt;=$I$12,일자별요약v2!G144,0)</f>
        <v>2090</v>
      </c>
      <c r="N18" s="702"/>
      <c r="O18" s="701">
        <f>+IF($A18&lt;=$I$12,일자별요약v2!H144,0)</f>
        <v>5785</v>
      </c>
      <c r="P18" s="702"/>
      <c r="Q18" s="701">
        <f>+IF($A18&lt;=$I$12,일자별요약v2!I144,0)</f>
        <v>990</v>
      </c>
      <c r="R18" s="702"/>
      <c r="S18" s="701">
        <f>+IF($A18&lt;=$I$12,일자별요약v2!J144,0)</f>
        <v>1797</v>
      </c>
      <c r="T18" s="702"/>
      <c r="U18" s="683"/>
      <c r="V18" s="685"/>
    </row>
    <row r="19" spans="1:30" s="684" customFormat="1" ht="31.5" customHeight="1" x14ac:dyDescent="0.25">
      <c r="A19" s="708">
        <f>+일자별요약v2!A145</f>
        <v>2</v>
      </c>
      <c r="B19" s="714"/>
      <c r="C19" s="725">
        <f>+IF($A19&lt;=$I$12,일자별요약v2!C180,0)</f>
        <v>1108</v>
      </c>
      <c r="D19" s="726"/>
      <c r="E19" s="718">
        <f>+IF($A19&lt;=$I$12,일자별요약v2!C145,0)</f>
        <v>6055</v>
      </c>
      <c r="F19" s="704"/>
      <c r="G19" s="703">
        <f>+IF($A19&lt;=$I$12,일자별요약v2!D145,0)</f>
        <v>868</v>
      </c>
      <c r="H19" s="704"/>
      <c r="I19" s="703">
        <f>+IF($A19&lt;=$I$12,일자별요약v2!E145,0)</f>
        <v>1218</v>
      </c>
      <c r="J19" s="704"/>
      <c r="K19" s="703">
        <f>+IF($A19&lt;=$I$12,일자별요약v2!F145,0)</f>
        <v>1953</v>
      </c>
      <c r="L19" s="704"/>
      <c r="M19" s="703">
        <f>+IF($A19&lt;=$I$12,일자별요약v2!G145,0)</f>
        <v>1929</v>
      </c>
      <c r="N19" s="704"/>
      <c r="O19" s="703">
        <f>+IF($A19&lt;=$I$12,일자별요약v2!H145,0)</f>
        <v>2559</v>
      </c>
      <c r="P19" s="704"/>
      <c r="Q19" s="703">
        <f>+IF($A19&lt;=$I$12,일자별요약v2!I145,0)</f>
        <v>875</v>
      </c>
      <c r="R19" s="704"/>
      <c r="S19" s="703">
        <f>+IF($A19&lt;=$I$12,일자별요약v2!J145,0)</f>
        <v>1912</v>
      </c>
      <c r="T19" s="704"/>
      <c r="U19" s="683"/>
      <c r="V19" s="685"/>
    </row>
    <row r="20" spans="1:30" s="684" customFormat="1" ht="31.5" customHeight="1" x14ac:dyDescent="0.25">
      <c r="A20" s="708">
        <f>+일자별요약v2!A146</f>
        <v>3</v>
      </c>
      <c r="B20" s="714"/>
      <c r="C20" s="725">
        <f>+IF($A20&lt;=$I$12,일자별요약v2!C181,0)</f>
        <v>1283</v>
      </c>
      <c r="D20" s="726"/>
      <c r="E20" s="718">
        <f>+IF($A20&lt;=$I$12,일자별요약v2!C146,0)</f>
        <v>5911</v>
      </c>
      <c r="F20" s="704"/>
      <c r="G20" s="703">
        <f>+IF($A20&lt;=$I$12,일자별요약v2!D146,0)</f>
        <v>1152</v>
      </c>
      <c r="H20" s="704"/>
      <c r="I20" s="703">
        <f>+IF($A20&lt;=$I$12,일자별요약v2!E146,0)</f>
        <v>847</v>
      </c>
      <c r="J20" s="704"/>
      <c r="K20" s="703">
        <f>+IF($A20&lt;=$I$12,일자별요약v2!F146,0)</f>
        <v>2011</v>
      </c>
      <c r="L20" s="704"/>
      <c r="M20" s="703">
        <f>+IF($A20&lt;=$I$12,일자별요약v2!G146,0)</f>
        <v>2139</v>
      </c>
      <c r="N20" s="704"/>
      <c r="O20" s="703">
        <f>+IF($A20&lt;=$I$12,일자별요약v2!H146,0)</f>
        <v>4095</v>
      </c>
      <c r="P20" s="704"/>
      <c r="Q20" s="703">
        <f>+IF($A20&lt;=$I$12,일자별요약v2!I146,0)</f>
        <v>908</v>
      </c>
      <c r="R20" s="704"/>
      <c r="S20" s="703">
        <f>+IF($A20&lt;=$I$12,일자별요약v2!J146,0)</f>
        <v>1558</v>
      </c>
      <c r="T20" s="704"/>
      <c r="U20" s="683"/>
      <c r="V20" s="685"/>
    </row>
    <row r="21" spans="1:30" s="684" customFormat="1" ht="31.5" customHeight="1" x14ac:dyDescent="0.25">
      <c r="A21" s="708">
        <f>+일자별요약v2!A147</f>
        <v>4</v>
      </c>
      <c r="B21" s="714"/>
      <c r="C21" s="725">
        <f>+IF($A21&lt;=$I$12,일자별요약v2!C182,0)</f>
        <v>1305</v>
      </c>
      <c r="D21" s="726"/>
      <c r="E21" s="718">
        <f>+IF($A21&lt;=$I$12,일자별요약v2!C147,0)</f>
        <v>5843</v>
      </c>
      <c r="F21" s="704"/>
      <c r="G21" s="703">
        <f>+IF($A21&lt;=$I$12,일자별요약v2!D147,0)</f>
        <v>840</v>
      </c>
      <c r="H21" s="704"/>
      <c r="I21" s="703">
        <f>+IF($A21&lt;=$I$12,일자별요약v2!E147,0)</f>
        <v>1082</v>
      </c>
      <c r="J21" s="704"/>
      <c r="K21" s="703">
        <f>+IF($A21&lt;=$I$12,일자별요약v2!F147,0)</f>
        <v>2419</v>
      </c>
      <c r="L21" s="704"/>
      <c r="M21" s="703">
        <f>+IF($A21&lt;=$I$12,일자별요약v2!G147,0)</f>
        <v>1774</v>
      </c>
      <c r="N21" s="704"/>
      <c r="O21" s="703">
        <f>+IF($A21&lt;=$I$12,일자별요약v2!H147,0)</f>
        <v>4261</v>
      </c>
      <c r="P21" s="704"/>
      <c r="Q21" s="703">
        <f>+IF($A21&lt;=$I$12,일자별요약v2!I147,0)</f>
        <v>1020</v>
      </c>
      <c r="R21" s="704"/>
      <c r="S21" s="703">
        <f>+IF($A21&lt;=$I$12,일자별요약v2!J147,0)</f>
        <v>1646</v>
      </c>
      <c r="T21" s="704"/>
      <c r="U21" s="683"/>
      <c r="V21" s="685"/>
    </row>
    <row r="22" spans="1:30" s="684" customFormat="1" ht="31.5" customHeight="1" x14ac:dyDescent="0.25">
      <c r="A22" s="708">
        <f>+일자별요약v2!A148</f>
        <v>5</v>
      </c>
      <c r="B22" s="714"/>
      <c r="C22" s="725">
        <f>+IF($A22&lt;=$I$12,일자별요약v2!C183,0)</f>
        <v>1227</v>
      </c>
      <c r="D22" s="726"/>
      <c r="E22" s="718">
        <f>+IF($A22&lt;=$I$12,일자별요약v2!C148,0)</f>
        <v>6046</v>
      </c>
      <c r="F22" s="704"/>
      <c r="G22" s="703">
        <f>+IF($A22&lt;=$I$12,일자별요약v2!D148,0)</f>
        <v>1106</v>
      </c>
      <c r="H22" s="704"/>
      <c r="I22" s="703">
        <f>+IF($A22&lt;=$I$12,일자별요약v2!E148,0)</f>
        <v>1162</v>
      </c>
      <c r="J22" s="704"/>
      <c r="K22" s="703">
        <f>+IF($A22&lt;=$I$12,일자별요약v2!F148,0)</f>
        <v>2557</v>
      </c>
      <c r="L22" s="704"/>
      <c r="M22" s="703">
        <f>+IF($A22&lt;=$I$12,일자별요약v2!G148,0)</f>
        <v>2377</v>
      </c>
      <c r="N22" s="704"/>
      <c r="O22" s="703">
        <f>+IF($A22&lt;=$I$12,일자별요약v2!H148,0)</f>
        <v>2925</v>
      </c>
      <c r="P22" s="704"/>
      <c r="Q22" s="703">
        <f>+IF($A22&lt;=$I$12,일자별요약v2!I148,0)</f>
        <v>881</v>
      </c>
      <c r="R22" s="704"/>
      <c r="S22" s="703">
        <f>+IF($A22&lt;=$I$12,일자별요약v2!J148,0)</f>
        <v>1272</v>
      </c>
      <c r="T22" s="704"/>
      <c r="U22" s="683"/>
      <c r="V22" s="685"/>
    </row>
    <row r="23" spans="1:30" s="684" customFormat="1" ht="18.600000000000001" customHeight="1" x14ac:dyDescent="0.25">
      <c r="A23" s="708">
        <f>+일자별요약v2!A149</f>
        <v>6</v>
      </c>
      <c r="B23" s="714"/>
      <c r="C23" s="725">
        <f>+IF($A23&lt;=$I$12,일자별요약v2!C184,0)</f>
        <v>1402</v>
      </c>
      <c r="D23" s="726"/>
      <c r="E23" s="718">
        <f>+IF($A23&lt;=$I$12,일자별요약v2!C149,0)</f>
        <v>6560</v>
      </c>
      <c r="F23" s="704"/>
      <c r="G23" s="703">
        <f>+IF($A23&lt;=$I$12,일자별요약v2!D149,0)</f>
        <v>1025</v>
      </c>
      <c r="H23" s="704"/>
      <c r="I23" s="703">
        <f>+IF($A23&lt;=$I$12,일자별요약v2!E149,0)</f>
        <v>1230</v>
      </c>
      <c r="J23" s="704"/>
      <c r="K23" s="703">
        <f>+IF($A23&lt;=$I$12,일자별요약v2!F149,0)</f>
        <v>2035</v>
      </c>
      <c r="L23" s="704"/>
      <c r="M23" s="703">
        <f>+IF($A23&lt;=$I$12,일자별요약v2!G149,0)</f>
        <v>1248</v>
      </c>
      <c r="N23" s="704"/>
      <c r="O23" s="703">
        <f>+IF($A23&lt;=$I$12,일자별요약v2!H149,0)</f>
        <v>4599</v>
      </c>
      <c r="P23" s="704"/>
      <c r="Q23" s="703">
        <f>+IF($A23&lt;=$I$12,일자별요약v2!I149,0)</f>
        <v>748</v>
      </c>
      <c r="R23" s="704"/>
      <c r="S23" s="703">
        <f>+IF($A23&lt;=$I$12,일자별요약v2!J149,0)</f>
        <v>1409</v>
      </c>
      <c r="T23" s="704"/>
      <c r="U23" s="683"/>
      <c r="V23" s="685"/>
    </row>
    <row r="24" spans="1:30" s="684" customFormat="1" ht="18.600000000000001" customHeight="1" x14ac:dyDescent="0.25">
      <c r="A24" s="708">
        <f>+일자별요약v2!A150</f>
        <v>7</v>
      </c>
      <c r="B24" s="714"/>
      <c r="C24" s="725">
        <f>+IF($A24&lt;=$I$12,일자별요약v2!C186,0)</f>
        <v>0</v>
      </c>
      <c r="D24" s="726"/>
      <c r="E24" s="718">
        <f>+IF($A24&lt;=$I$12,일자별요약v2!C150,0)</f>
        <v>0</v>
      </c>
      <c r="F24" s="704"/>
      <c r="G24" s="703">
        <f>+IF($A24&lt;=$I$12,일자별요약v2!D150,0)</f>
        <v>0</v>
      </c>
      <c r="H24" s="704"/>
      <c r="I24" s="703">
        <f>+IF($A24&lt;=$I$12,일자별요약v2!E150,0)</f>
        <v>0</v>
      </c>
      <c r="J24" s="704"/>
      <c r="K24" s="703">
        <f>+IF($A24&lt;=$I$12,일자별요약v2!F150,0)</f>
        <v>0</v>
      </c>
      <c r="L24" s="704"/>
      <c r="M24" s="703">
        <f>+IF($A24&lt;=$I$12,일자별요약v2!G150,0)</f>
        <v>0</v>
      </c>
      <c r="N24" s="704"/>
      <c r="O24" s="703">
        <f>+IF($A24&lt;=$I$12,일자별요약v2!H150,0)</f>
        <v>0</v>
      </c>
      <c r="P24" s="704"/>
      <c r="Q24" s="703">
        <f>+IF($A24&lt;=$I$12,일자별요약v2!I150,0)</f>
        <v>0</v>
      </c>
      <c r="R24" s="704"/>
      <c r="S24" s="703">
        <f>+IF($A24&lt;=$I$12,일자별요약v2!J150,0)</f>
        <v>0</v>
      </c>
      <c r="T24" s="704"/>
      <c r="U24" s="683"/>
      <c r="V24" s="685"/>
    </row>
    <row r="25" spans="1:30" s="684" customFormat="1" ht="18.600000000000001" customHeight="1" x14ac:dyDescent="0.25">
      <c r="A25" s="708">
        <f>+일자별요약v2!A151</f>
        <v>8</v>
      </c>
      <c r="B25" s="714"/>
      <c r="C25" s="725">
        <f>+IF($A25&lt;=$I$12,일자별요약v2!C187,0)</f>
        <v>0</v>
      </c>
      <c r="D25" s="726"/>
      <c r="E25" s="718">
        <f>+IF($A25&lt;=$I$12,일자별요약v2!C151,0)</f>
        <v>0</v>
      </c>
      <c r="F25" s="704"/>
      <c r="G25" s="703">
        <f>+IF($A25&lt;=$I$12,일자별요약v2!D151,0)</f>
        <v>0</v>
      </c>
      <c r="H25" s="704"/>
      <c r="I25" s="703">
        <f>+IF($A25&lt;=$I$12,일자별요약v2!E151,0)</f>
        <v>0</v>
      </c>
      <c r="J25" s="704"/>
      <c r="K25" s="703">
        <f>+IF($A25&lt;=$I$12,일자별요약v2!F151,0)</f>
        <v>0</v>
      </c>
      <c r="L25" s="704"/>
      <c r="M25" s="703">
        <f>+IF($A25&lt;=$I$12,일자별요약v2!G151,0)</f>
        <v>0</v>
      </c>
      <c r="N25" s="704"/>
      <c r="O25" s="703">
        <f>+IF($A25&lt;=$I$12,일자별요약v2!H151,0)</f>
        <v>0</v>
      </c>
      <c r="P25" s="704"/>
      <c r="Q25" s="703">
        <f>+IF($A25&lt;=$I$12,일자별요약v2!I151,0)</f>
        <v>0</v>
      </c>
      <c r="R25" s="704"/>
      <c r="S25" s="703">
        <f>+IF($A25&lt;=$I$12,일자별요약v2!J151,0)</f>
        <v>0</v>
      </c>
      <c r="T25" s="704"/>
      <c r="U25" s="683"/>
      <c r="V25" s="685"/>
    </row>
    <row r="26" spans="1:30" s="684" customFormat="1" ht="18.600000000000001" customHeight="1" x14ac:dyDescent="0.25">
      <c r="A26" s="708">
        <f>+일자별요약v2!A152</f>
        <v>9</v>
      </c>
      <c r="B26" s="714"/>
      <c r="C26" s="725">
        <f>+IF($A26&lt;=$I$12,일자별요약v2!C188,0)</f>
        <v>0</v>
      </c>
      <c r="D26" s="726"/>
      <c r="E26" s="718">
        <f>+IF($A26&lt;=$I$12,일자별요약v2!C152,0)</f>
        <v>0</v>
      </c>
      <c r="F26" s="704"/>
      <c r="G26" s="703">
        <f>+IF($A26&lt;=$I$12,일자별요약v2!D152,0)</f>
        <v>0</v>
      </c>
      <c r="H26" s="704"/>
      <c r="I26" s="703">
        <f>+IF($A26&lt;=$I$12,일자별요약v2!E152,0)</f>
        <v>0</v>
      </c>
      <c r="J26" s="704"/>
      <c r="K26" s="703">
        <f>+IF($A26&lt;=$I$12,일자별요약v2!F152,0)</f>
        <v>0</v>
      </c>
      <c r="L26" s="704"/>
      <c r="M26" s="703">
        <f>+IF($A26&lt;=$I$12,일자별요약v2!G152,0)</f>
        <v>0</v>
      </c>
      <c r="N26" s="704"/>
      <c r="O26" s="703">
        <f>+IF($A26&lt;=$I$12,일자별요약v2!H152,0)</f>
        <v>0</v>
      </c>
      <c r="P26" s="704"/>
      <c r="Q26" s="703">
        <f>+IF($A26&lt;=$I$12,일자별요약v2!I152,0)</f>
        <v>0</v>
      </c>
      <c r="R26" s="704"/>
      <c r="S26" s="703">
        <f>+IF($A26&lt;=$I$12,일자별요약v2!J152,0)</f>
        <v>0</v>
      </c>
      <c r="T26" s="704"/>
      <c r="U26" s="683"/>
      <c r="V26" s="685"/>
    </row>
    <row r="27" spans="1:30" s="684" customFormat="1" ht="18.600000000000001" customHeight="1" x14ac:dyDescent="0.25">
      <c r="A27" s="708">
        <f>+일자별요약v2!A153</f>
        <v>10</v>
      </c>
      <c r="B27" s="714"/>
      <c r="C27" s="725">
        <f>+IF($A27&lt;=$I$12,일자별요약v2!C189,0)</f>
        <v>0</v>
      </c>
      <c r="D27" s="726"/>
      <c r="E27" s="718">
        <f>+IF($A27&lt;=$I$12,일자별요약v2!C153,0)</f>
        <v>0</v>
      </c>
      <c r="F27" s="704"/>
      <c r="G27" s="703">
        <f>+IF($A27&lt;=$I$12,일자별요약v2!D153,0)</f>
        <v>0</v>
      </c>
      <c r="H27" s="704"/>
      <c r="I27" s="703">
        <f>+IF($A27&lt;=$I$12,일자별요약v2!E153,0)</f>
        <v>0</v>
      </c>
      <c r="J27" s="704"/>
      <c r="K27" s="703">
        <f>+IF($A27&lt;=$I$12,일자별요약v2!F153,0)</f>
        <v>0</v>
      </c>
      <c r="L27" s="704"/>
      <c r="M27" s="703">
        <f>+IF($A27&lt;=$I$12,일자별요약v2!G153,0)</f>
        <v>0</v>
      </c>
      <c r="N27" s="704"/>
      <c r="O27" s="703">
        <f>+IF($A27&lt;=$I$12,일자별요약v2!H153,0)</f>
        <v>0</v>
      </c>
      <c r="P27" s="704"/>
      <c r="Q27" s="703">
        <f>+IF($A27&lt;=$I$12,일자별요약v2!I153,0)</f>
        <v>0</v>
      </c>
      <c r="R27" s="704"/>
      <c r="S27" s="703">
        <f>+IF($A27&lt;=$I$12,일자별요약v2!J153,0)</f>
        <v>0</v>
      </c>
      <c r="T27" s="704"/>
      <c r="U27" s="683"/>
      <c r="V27" s="685"/>
    </row>
    <row r="28" spans="1:30" s="684" customFormat="1" ht="18.600000000000001" customHeight="1" x14ac:dyDescent="0.25">
      <c r="A28" s="708">
        <f>+일자별요약v2!A154</f>
        <v>11</v>
      </c>
      <c r="B28" s="714"/>
      <c r="C28" s="725">
        <f>+IF($A28&lt;=$I$12,일자별요약v2!C190,0)</f>
        <v>0</v>
      </c>
      <c r="D28" s="726"/>
      <c r="E28" s="718">
        <f>+IF($A28&lt;=$I$12,일자별요약v2!C154,0)</f>
        <v>0</v>
      </c>
      <c r="F28" s="704"/>
      <c r="G28" s="703">
        <f>+IF($A28&lt;=$I$12,일자별요약v2!D154,0)</f>
        <v>0</v>
      </c>
      <c r="H28" s="704"/>
      <c r="I28" s="703">
        <f>+IF($A28&lt;=$I$12,일자별요약v2!E154,0)</f>
        <v>0</v>
      </c>
      <c r="J28" s="704"/>
      <c r="K28" s="703">
        <f>+IF($A28&lt;=$I$12,일자별요약v2!F154,0)</f>
        <v>0</v>
      </c>
      <c r="L28" s="704"/>
      <c r="M28" s="703">
        <f>+IF($A28&lt;=$I$12,일자별요약v2!G154,0)</f>
        <v>0</v>
      </c>
      <c r="N28" s="704"/>
      <c r="O28" s="703">
        <f>+IF($A28&lt;=$I$12,일자별요약v2!H154,0)</f>
        <v>0</v>
      </c>
      <c r="P28" s="704"/>
      <c r="Q28" s="703">
        <f>+IF($A28&lt;=$I$12,일자별요약v2!I154,0)</f>
        <v>0</v>
      </c>
      <c r="R28" s="704"/>
      <c r="S28" s="703">
        <f>+IF($A28&lt;=$I$12,일자별요약v2!J154,0)</f>
        <v>0</v>
      </c>
      <c r="T28" s="704"/>
      <c r="U28" s="683"/>
      <c r="V28" s="685"/>
    </row>
    <row r="29" spans="1:30" s="684" customFormat="1" ht="18.600000000000001" customHeight="1" x14ac:dyDescent="0.25">
      <c r="A29" s="708">
        <f>+일자별요약v2!A155</f>
        <v>12</v>
      </c>
      <c r="B29" s="714"/>
      <c r="C29" s="725">
        <f>+IF($A29&lt;=$I$12,일자별요약v2!C191,0)</f>
        <v>0</v>
      </c>
      <c r="D29" s="726"/>
      <c r="E29" s="718">
        <f>+IF($A29&lt;=$I$12,일자별요약v2!C155,0)</f>
        <v>0</v>
      </c>
      <c r="F29" s="704"/>
      <c r="G29" s="703">
        <f>+IF($A29&lt;=$I$12,일자별요약v2!D155,0)</f>
        <v>0</v>
      </c>
      <c r="H29" s="704"/>
      <c r="I29" s="703">
        <f>+IF($A29&lt;=$I$12,일자별요약v2!E155,0)</f>
        <v>0</v>
      </c>
      <c r="J29" s="704"/>
      <c r="K29" s="703">
        <f>+IF($A29&lt;=$I$12,일자별요약v2!F155,0)</f>
        <v>0</v>
      </c>
      <c r="L29" s="704"/>
      <c r="M29" s="703">
        <f>+IF($A29&lt;=$I$12,일자별요약v2!G155,0)</f>
        <v>0</v>
      </c>
      <c r="N29" s="704"/>
      <c r="O29" s="703">
        <f>+IF($A29&lt;=$I$12,일자별요약v2!H155,0)</f>
        <v>0</v>
      </c>
      <c r="P29" s="704"/>
      <c r="Q29" s="703">
        <f>+IF($A29&lt;=$I$12,일자별요약v2!I155,0)</f>
        <v>0</v>
      </c>
      <c r="R29" s="704"/>
      <c r="S29" s="703">
        <f>+IF($A29&lt;=$I$12,일자별요약v2!J155,0)</f>
        <v>0</v>
      </c>
      <c r="T29" s="704"/>
      <c r="U29" s="683"/>
      <c r="V29" s="685"/>
    </row>
    <row r="30" spans="1:30" s="684" customFormat="1" ht="18.600000000000001" customHeight="1" x14ac:dyDescent="0.25">
      <c r="A30" s="708">
        <f>+일자별요약v2!A156</f>
        <v>13</v>
      </c>
      <c r="B30" s="714"/>
      <c r="C30" s="725">
        <f>+IF($A30&lt;=$I$12,일자별요약v2!C193,0)</f>
        <v>0</v>
      </c>
      <c r="D30" s="726"/>
      <c r="E30" s="718">
        <f>+IF($A30&lt;=$I$12,일자별요약v2!C156,0)</f>
        <v>0</v>
      </c>
      <c r="F30" s="704"/>
      <c r="G30" s="703">
        <f>+IF($A30&lt;=$I$12,일자별요약v2!D156,0)</f>
        <v>0</v>
      </c>
      <c r="H30" s="704"/>
      <c r="I30" s="703">
        <f>+IF($A30&lt;=$I$12,일자별요약v2!E156,0)</f>
        <v>0</v>
      </c>
      <c r="J30" s="704"/>
      <c r="K30" s="703">
        <f>+IF($A30&lt;=$I$12,일자별요약v2!F156,0)</f>
        <v>0</v>
      </c>
      <c r="L30" s="704"/>
      <c r="M30" s="703">
        <f>+IF($A30&lt;=$I$12,일자별요약v2!G156,0)</f>
        <v>0</v>
      </c>
      <c r="N30" s="704"/>
      <c r="O30" s="703">
        <f>+IF($A30&lt;=$I$12,일자별요약v2!H156,0)</f>
        <v>0</v>
      </c>
      <c r="P30" s="704"/>
      <c r="Q30" s="703">
        <f>+IF($A30&lt;=$I$12,일자별요약v2!I156,0)</f>
        <v>0</v>
      </c>
      <c r="R30" s="704"/>
      <c r="S30" s="703">
        <f>+IF($A30&lt;=$I$12,일자별요약v2!J156,0)</f>
        <v>0</v>
      </c>
      <c r="T30" s="704"/>
      <c r="U30" s="683"/>
      <c r="V30" s="685"/>
    </row>
    <row r="31" spans="1:30" s="684" customFormat="1" ht="18.600000000000001" customHeight="1" x14ac:dyDescent="0.25">
      <c r="A31" s="708">
        <f>+일자별요약v2!A157</f>
        <v>14</v>
      </c>
      <c r="B31" s="714"/>
      <c r="C31" s="725">
        <f>+IF($A31&lt;=$I$12,일자별요약v2!C194,0)</f>
        <v>0</v>
      </c>
      <c r="D31" s="726"/>
      <c r="E31" s="718">
        <f>+IF($A31&lt;=$I$12,일자별요약v2!C157,0)</f>
        <v>0</v>
      </c>
      <c r="F31" s="704"/>
      <c r="G31" s="703">
        <f>+IF($A31&lt;=$I$12,일자별요약v2!D157,0)</f>
        <v>0</v>
      </c>
      <c r="H31" s="704"/>
      <c r="I31" s="703">
        <f>+IF($A31&lt;=$I$12,일자별요약v2!E157,0)</f>
        <v>0</v>
      </c>
      <c r="J31" s="704"/>
      <c r="K31" s="703">
        <f>+IF($A31&lt;=$I$12,일자별요약v2!F157,0)</f>
        <v>0</v>
      </c>
      <c r="L31" s="704"/>
      <c r="M31" s="703">
        <f>+IF($A31&lt;=$I$12,일자별요약v2!G157,0)</f>
        <v>0</v>
      </c>
      <c r="N31" s="704"/>
      <c r="O31" s="703">
        <f>+IF($A31&lt;=$I$12,일자별요약v2!H157,0)</f>
        <v>0</v>
      </c>
      <c r="P31" s="704"/>
      <c r="Q31" s="703">
        <f>+IF($A31&lt;=$I$12,일자별요약v2!I157,0)</f>
        <v>0</v>
      </c>
      <c r="R31" s="704"/>
      <c r="S31" s="703">
        <f>+IF($A31&lt;=$I$12,일자별요약v2!J157,0)</f>
        <v>0</v>
      </c>
      <c r="T31" s="704"/>
      <c r="U31" s="683"/>
      <c r="V31" s="685"/>
    </row>
    <row r="32" spans="1:30" s="684" customFormat="1" ht="18.600000000000001" customHeight="1" x14ac:dyDescent="0.25">
      <c r="A32" s="708">
        <f>+일자별요약v2!A158</f>
        <v>15</v>
      </c>
      <c r="B32" s="714"/>
      <c r="C32" s="725">
        <f>+IF($A32&lt;=$I$12,일자별요약v2!C195,0)</f>
        <v>0</v>
      </c>
      <c r="D32" s="726"/>
      <c r="E32" s="718">
        <f>+IF($A32&lt;=$I$12,일자별요약v2!C158,0)</f>
        <v>0</v>
      </c>
      <c r="F32" s="704"/>
      <c r="G32" s="703">
        <f>+IF($A32&lt;=$I$12,일자별요약v2!D158,0)</f>
        <v>0</v>
      </c>
      <c r="H32" s="704"/>
      <c r="I32" s="703">
        <f>+IF($A32&lt;=$I$12,일자별요약v2!E158,0)</f>
        <v>0</v>
      </c>
      <c r="J32" s="704"/>
      <c r="K32" s="703">
        <f>+IF($A32&lt;=$I$12,일자별요약v2!F158,0)</f>
        <v>0</v>
      </c>
      <c r="L32" s="704"/>
      <c r="M32" s="703">
        <f>+IF($A32&lt;=$I$12,일자별요약v2!G158,0)</f>
        <v>0</v>
      </c>
      <c r="N32" s="704"/>
      <c r="O32" s="703">
        <f>+IF($A32&lt;=$I$12,일자별요약v2!H158,0)</f>
        <v>0</v>
      </c>
      <c r="P32" s="704"/>
      <c r="Q32" s="703">
        <f>+IF($A32&lt;=$I$12,일자별요약v2!I158,0)</f>
        <v>0</v>
      </c>
      <c r="R32" s="704"/>
      <c r="S32" s="703">
        <f>+IF($A32&lt;=$I$12,일자별요약v2!J158,0)</f>
        <v>0</v>
      </c>
      <c r="T32" s="704"/>
      <c r="U32" s="683"/>
      <c r="V32" s="685"/>
    </row>
    <row r="33" spans="1:22" s="684" customFormat="1" ht="18.600000000000001" customHeight="1" x14ac:dyDescent="0.25">
      <c r="A33" s="708">
        <f>+일자별요약v2!A159</f>
        <v>16</v>
      </c>
      <c r="B33" s="714"/>
      <c r="C33" s="725">
        <f>+IF($A33&lt;=$I$12,일자별요약v2!C197,0)</f>
        <v>0</v>
      </c>
      <c r="D33" s="726"/>
      <c r="E33" s="718">
        <f>+IF($A33&lt;=$I$12,일자별요약v2!C159,0)</f>
        <v>0</v>
      </c>
      <c r="F33" s="704"/>
      <c r="G33" s="703">
        <f>+IF($A33&lt;=$I$12,일자별요약v2!D159,0)</f>
        <v>0</v>
      </c>
      <c r="H33" s="704"/>
      <c r="I33" s="703">
        <f>+IF($A33&lt;=$I$12,일자별요약v2!E159,0)</f>
        <v>0</v>
      </c>
      <c r="J33" s="704"/>
      <c r="K33" s="703">
        <f>+IF($A33&lt;=$I$12,일자별요약v2!F159,0)</f>
        <v>0</v>
      </c>
      <c r="L33" s="704"/>
      <c r="M33" s="703">
        <f>+IF($A33&lt;=$I$12,일자별요약v2!G159,0)</f>
        <v>0</v>
      </c>
      <c r="N33" s="704"/>
      <c r="O33" s="703">
        <f>+IF($A33&lt;=$I$12,일자별요약v2!H159,0)</f>
        <v>0</v>
      </c>
      <c r="P33" s="704"/>
      <c r="Q33" s="703">
        <f>+IF($A33&lt;=$I$12,일자별요약v2!I159,0)</f>
        <v>0</v>
      </c>
      <c r="R33" s="704"/>
      <c r="S33" s="703">
        <f>+IF($A33&lt;=$I$12,일자별요약v2!J159,0)</f>
        <v>0</v>
      </c>
      <c r="T33" s="704"/>
      <c r="U33" s="683"/>
      <c r="V33" s="685"/>
    </row>
    <row r="34" spans="1:22" s="684" customFormat="1" ht="18.600000000000001" customHeight="1" x14ac:dyDescent="0.25">
      <c r="A34" s="708">
        <f>+일자별요약v2!A160</f>
        <v>17</v>
      </c>
      <c r="B34" s="714"/>
      <c r="C34" s="725">
        <f>+IF($A34&lt;=$I$12,일자별요약v2!C199,0)</f>
        <v>0</v>
      </c>
      <c r="D34" s="726"/>
      <c r="E34" s="718">
        <f>+IF($A34&lt;=$I$12,일자별요약v2!C160,0)</f>
        <v>0</v>
      </c>
      <c r="F34" s="704"/>
      <c r="G34" s="703">
        <f>+IF($A34&lt;=$I$12,일자별요약v2!D160,0)</f>
        <v>0</v>
      </c>
      <c r="H34" s="704"/>
      <c r="I34" s="703">
        <f>+IF($A34&lt;=$I$12,일자별요약v2!E160,0)</f>
        <v>0</v>
      </c>
      <c r="J34" s="704"/>
      <c r="K34" s="703">
        <f>+IF($A34&lt;=$I$12,일자별요약v2!F160,0)</f>
        <v>0</v>
      </c>
      <c r="L34" s="704"/>
      <c r="M34" s="703">
        <f>+IF($A34&lt;=$I$12,일자별요약v2!G160,0)</f>
        <v>0</v>
      </c>
      <c r="N34" s="704"/>
      <c r="O34" s="703">
        <f>+IF($A34&lt;=$I$12,일자별요약v2!H160,0)</f>
        <v>0</v>
      </c>
      <c r="P34" s="704"/>
      <c r="Q34" s="703">
        <f>+IF($A34&lt;=$I$12,일자별요약v2!I160,0)</f>
        <v>0</v>
      </c>
      <c r="R34" s="704"/>
      <c r="S34" s="703">
        <f>+IF($A34&lt;=$I$12,일자별요약v2!J160,0)</f>
        <v>0</v>
      </c>
      <c r="T34" s="704"/>
      <c r="U34" s="683"/>
      <c r="V34" s="685"/>
    </row>
    <row r="35" spans="1:22" s="684" customFormat="1" ht="18.600000000000001" customHeight="1" x14ac:dyDescent="0.25">
      <c r="A35" s="708">
        <f>+일자별요약v2!A161</f>
        <v>18</v>
      </c>
      <c r="B35" s="714"/>
      <c r="C35" s="725">
        <f>+IF($A35&lt;=$I$12,일자별요약v2!C202,0)</f>
        <v>0</v>
      </c>
      <c r="D35" s="726"/>
      <c r="E35" s="718">
        <f>+IF($A35&lt;=$I$12,일자별요약v2!C161,0)</f>
        <v>0</v>
      </c>
      <c r="F35" s="704"/>
      <c r="G35" s="703">
        <f>+IF($A35&lt;=$I$12,일자별요약v2!D161,0)</f>
        <v>0</v>
      </c>
      <c r="H35" s="704"/>
      <c r="I35" s="703">
        <f>+IF($A35&lt;=$I$12,일자별요약v2!E161,0)</f>
        <v>0</v>
      </c>
      <c r="J35" s="704"/>
      <c r="K35" s="703">
        <f>+IF($A35&lt;=$I$12,일자별요약v2!F161,0)</f>
        <v>0</v>
      </c>
      <c r="L35" s="704"/>
      <c r="M35" s="703">
        <f>+IF($A35&lt;=$I$12,일자별요약v2!G161,0)</f>
        <v>0</v>
      </c>
      <c r="N35" s="704"/>
      <c r="O35" s="703">
        <f>+IF($A35&lt;=$I$12,일자별요약v2!H161,0)</f>
        <v>0</v>
      </c>
      <c r="P35" s="704"/>
      <c r="Q35" s="703">
        <f>+IF($A35&lt;=$I$12,일자별요약v2!I161,0)</f>
        <v>0</v>
      </c>
      <c r="R35" s="704"/>
      <c r="S35" s="703">
        <f>+IF($A35&lt;=$I$12,일자별요약v2!J161,0)</f>
        <v>0</v>
      </c>
      <c r="T35" s="704"/>
      <c r="U35" s="683"/>
      <c r="V35" s="685"/>
    </row>
    <row r="36" spans="1:22" s="684" customFormat="1" ht="18.600000000000001" customHeight="1" x14ac:dyDescent="0.25">
      <c r="A36" s="708">
        <f>+일자별요약v2!A162</f>
        <v>19</v>
      </c>
      <c r="B36" s="714"/>
      <c r="C36" s="725">
        <f>+IF($A36&lt;=$I$12,일자별요약v2!C203,0)</f>
        <v>0</v>
      </c>
      <c r="D36" s="726"/>
      <c r="E36" s="718">
        <f>+IF($A36&lt;=$I$12,일자별요약v2!C162,0)</f>
        <v>0</v>
      </c>
      <c r="F36" s="704"/>
      <c r="G36" s="703">
        <f>+IF($A36&lt;=$I$12,일자별요약v2!D162,0)</f>
        <v>0</v>
      </c>
      <c r="H36" s="704"/>
      <c r="I36" s="703">
        <f>+IF($A36&lt;=$I$12,일자별요약v2!E162,0)</f>
        <v>0</v>
      </c>
      <c r="J36" s="704"/>
      <c r="K36" s="703">
        <f>+IF($A36&lt;=$I$12,일자별요약v2!F162,0)</f>
        <v>0</v>
      </c>
      <c r="L36" s="704"/>
      <c r="M36" s="703">
        <f>+IF($A36&lt;=$I$12,일자별요약v2!G162,0)</f>
        <v>0</v>
      </c>
      <c r="N36" s="704"/>
      <c r="O36" s="703">
        <f>+IF($A36&lt;=$I$12,일자별요약v2!H162,0)</f>
        <v>0</v>
      </c>
      <c r="P36" s="704"/>
      <c r="Q36" s="703">
        <f>+IF($A36&lt;=$I$12,일자별요약v2!I162,0)</f>
        <v>0</v>
      </c>
      <c r="R36" s="704"/>
      <c r="S36" s="703">
        <f>+IF($A36&lt;=$I$12,일자별요약v2!J162,0)</f>
        <v>0</v>
      </c>
      <c r="T36" s="704"/>
      <c r="U36" s="683"/>
      <c r="V36" s="685"/>
    </row>
    <row r="37" spans="1:22" s="684" customFormat="1" ht="18.600000000000001" customHeight="1" x14ac:dyDescent="0.25">
      <c r="A37" s="709">
        <f>+일자별요약v2!A163</f>
        <v>20</v>
      </c>
      <c r="B37" s="715"/>
      <c r="C37" s="727">
        <f>+IF($A37&lt;=$I$12,일자별요약v2!C204,0)</f>
        <v>0</v>
      </c>
      <c r="D37" s="728"/>
      <c r="E37" s="719">
        <f>+IF($A37&lt;=$I$12,일자별요약v2!C163,0)</f>
        <v>0</v>
      </c>
      <c r="F37" s="706"/>
      <c r="G37" s="705">
        <f>+IF($A37&lt;=$I$12,일자별요약v2!D163,0)</f>
        <v>0</v>
      </c>
      <c r="H37" s="706"/>
      <c r="I37" s="705">
        <f>+IF($A37&lt;=$I$12,일자별요약v2!E163,0)</f>
        <v>0</v>
      </c>
      <c r="J37" s="706"/>
      <c r="K37" s="705">
        <f>+IF($A37&lt;=$I$12,일자별요약v2!F163,0)</f>
        <v>0</v>
      </c>
      <c r="L37" s="706"/>
      <c r="M37" s="705">
        <f>+IF($A37&lt;=$I$12,일자별요약v2!G163,0)</f>
        <v>0</v>
      </c>
      <c r="N37" s="706"/>
      <c r="O37" s="705">
        <f>+IF($A37&lt;=$I$12,일자별요약v2!H163,0)</f>
        <v>0</v>
      </c>
      <c r="P37" s="706"/>
      <c r="Q37" s="705">
        <f>+IF($A37&lt;=$I$12,일자별요약v2!I163,0)</f>
        <v>0</v>
      </c>
      <c r="R37" s="706"/>
      <c r="S37" s="705">
        <f>+IF($A37&lt;=$I$12,일자별요약v2!J163,0)</f>
        <v>0</v>
      </c>
      <c r="T37" s="706"/>
      <c r="U37" s="683"/>
      <c r="V37" s="685">
        <f>+C38</f>
        <v>8588</v>
      </c>
    </row>
    <row r="38" spans="1:22" s="684" customFormat="1" ht="31.5" customHeight="1" x14ac:dyDescent="0.25">
      <c r="A38" s="697" t="s">
        <v>271</v>
      </c>
      <c r="B38" s="698"/>
      <c r="C38" s="977">
        <f>SUM(C18:C37)</f>
        <v>8588</v>
      </c>
      <c r="D38" s="978"/>
      <c r="E38" s="981">
        <f>+SUM(E18:E22)</f>
        <v>31364</v>
      </c>
      <c r="F38" s="982"/>
      <c r="G38" s="983">
        <f>+SUM(G18:G22)</f>
        <v>4811</v>
      </c>
      <c r="H38" s="984"/>
      <c r="I38" s="983">
        <f>+SUM(I18:I22)</f>
        <v>5119</v>
      </c>
      <c r="J38" s="984"/>
      <c r="K38" s="983">
        <f>+SUM(K18:K22)</f>
        <v>10860</v>
      </c>
      <c r="L38" s="984"/>
      <c r="M38" s="983">
        <f>+SUM(M18:M22)</f>
        <v>10309</v>
      </c>
      <c r="N38" s="984"/>
      <c r="O38" s="983">
        <f>+SUM(O18:O22)</f>
        <v>19625</v>
      </c>
      <c r="P38" s="984"/>
      <c r="Q38" s="983">
        <f>+SUM(Q18:Q22)</f>
        <v>4674</v>
      </c>
      <c r="R38" s="984"/>
      <c r="S38" s="983">
        <f>+SUM(S18:S22)</f>
        <v>8185</v>
      </c>
      <c r="T38" s="984"/>
      <c r="V38" s="684">
        <f>+RANK(SUM(C18:C37),$C$38:$T$38)</f>
        <v>5</v>
      </c>
    </row>
    <row r="39" spans="1:22" s="684" customFormat="1" ht="240" customHeight="1" x14ac:dyDescent="0.25">
      <c r="A39" s="1014" t="s">
        <v>266</v>
      </c>
      <c r="B39" s="1015"/>
      <c r="C39" s="1016"/>
      <c r="D39" s="1017"/>
      <c r="E39" s="1018"/>
      <c r="F39" s="1009"/>
      <c r="G39" s="1009"/>
      <c r="H39" s="1009"/>
      <c r="I39" s="1009"/>
      <c r="J39" s="1009"/>
      <c r="K39" s="1009"/>
      <c r="L39" s="1009"/>
      <c r="M39" s="1009"/>
      <c r="N39" s="1009"/>
      <c r="O39" s="1009"/>
      <c r="P39" s="1009"/>
      <c r="Q39" s="1009"/>
      <c r="R39" s="1009"/>
      <c r="S39" s="1009"/>
      <c r="T39" s="1010"/>
      <c r="U39" s="683"/>
      <c r="V39" s="685"/>
    </row>
    <row r="40" spans="1:22" s="684" customFormat="1" ht="39" customHeight="1" x14ac:dyDescent="0.25">
      <c r="A40" s="729" t="s">
        <v>231</v>
      </c>
      <c r="B40" s="730"/>
      <c r="C40" s="985">
        <f>+SLOPE(C18:C22,$A$18:$A$22)</f>
        <v>-187.5</v>
      </c>
      <c r="D40" s="986"/>
      <c r="E40" s="1002">
        <f>+SLOPE(E18:E22,$A$18:$A$22)</f>
        <v>-313.8</v>
      </c>
      <c r="F40" s="980"/>
      <c r="G40" s="979">
        <f>+SLOPE(G18:G22,$A$18:$A$22)</f>
        <v>49.4</v>
      </c>
      <c r="H40" s="980"/>
      <c r="I40" s="979">
        <f>+SLOPE(I18:I22,$A$18:$A$22)</f>
        <v>56.8</v>
      </c>
      <c r="J40" s="980"/>
      <c r="K40" s="979">
        <f>+SLOPE(K18:K22,$A$18:$A$22)</f>
        <v>174</v>
      </c>
      <c r="L40" s="980"/>
      <c r="M40" s="979">
        <f>+SLOPE(M18:M22,$A$18:$A$22)</f>
        <v>41.9</v>
      </c>
      <c r="N40" s="980"/>
      <c r="O40" s="979">
        <f>+SLOPE(O18:O22,$A$18:$A$22)</f>
        <v>-401.8</v>
      </c>
      <c r="P40" s="980"/>
      <c r="Q40" s="979">
        <f>+SLOPE(Q18:Q22,$A$18:$A$22)</f>
        <v>-7.3</v>
      </c>
      <c r="R40" s="980"/>
      <c r="S40" s="979">
        <f>+SLOPE(S18:S22,$A$18:$A$22)</f>
        <v>-131.6</v>
      </c>
      <c r="T40" s="980"/>
    </row>
    <row r="41" spans="1:22" s="684" customFormat="1" ht="43.15" customHeight="1" x14ac:dyDescent="0.25">
      <c r="A41" s="1011" t="s">
        <v>268</v>
      </c>
      <c r="B41" s="768" t="s">
        <v>273</v>
      </c>
      <c r="C41" s="1003">
        <f>+IF(C40&lt;0,RANK(C40,$C$40:$T$40)-COUNTIF($C$40:$T$40,"&gt;0"),IF(C40&lt;=0,""))</f>
        <v>3</v>
      </c>
      <c r="D41" s="1004"/>
      <c r="E41" s="1005">
        <f t="shared" ref="E41" si="3">+IF(E40&lt;0,RANK(E40,$C$40:$T$40)-COUNTIF($C$40:$T$40,"&gt;0"),IF(E40&lt;=0,""))</f>
        <v>4</v>
      </c>
      <c r="F41" s="1006"/>
      <c r="G41" s="1007" t="b">
        <f t="shared" ref="G41" si="4">+IF(G40&lt;0,RANK(G40,$C$40:$T$40)-COUNTIF($C$40:$T$40,"&gt;0"),IF(G40&lt;=0,""))</f>
        <v>0</v>
      </c>
      <c r="H41" s="1008"/>
      <c r="I41" s="975" t="b">
        <f t="shared" ref="I41" si="5">+IF(I40&lt;0,RANK(I40,$C$40:$T$40)-COUNTIF($C$40:$T$40,"&gt;0"),IF(I40&lt;=0,""))</f>
        <v>0</v>
      </c>
      <c r="J41" s="976"/>
      <c r="K41" s="975" t="b">
        <f t="shared" ref="K41" si="6">+IF(K40&lt;0,RANK(K40,$C$40:$T$40)-COUNTIF($C$40:$T$40,"&gt;0"),IF(K40&lt;=0,""))</f>
        <v>0</v>
      </c>
      <c r="L41" s="976"/>
      <c r="M41" s="975" t="b">
        <f t="shared" ref="M41" si="7">+IF(M40&lt;0,RANK(M40,$C$40:$T$40)-COUNTIF($C$40:$T$40,"&gt;0"),IF(M40&lt;=0,""))</f>
        <v>0</v>
      </c>
      <c r="N41" s="976"/>
      <c r="O41" s="975">
        <f t="shared" ref="O41" si="8">+IF(O40&lt;0,RANK(O40,$C$40:$T$40)-COUNTIF($C$40:$T$40,"&gt;0"),IF(O40&lt;=0,""))</f>
        <v>5</v>
      </c>
      <c r="P41" s="976"/>
      <c r="Q41" s="975">
        <f t="shared" ref="Q41" si="9">+IF(Q40&lt;0,RANK(Q40,$C$40:$T$40)-COUNTIF($C$40:$T$40,"&gt;0"),IF(Q40&lt;=0,""))</f>
        <v>1</v>
      </c>
      <c r="R41" s="976"/>
      <c r="S41" s="975">
        <f t="shared" ref="S41" si="10">+IF(S40&lt;0,RANK(S40,$C$40:$T$40)-COUNTIF($C$40:$T$40,"&gt;0"),IF(S40&lt;=0,""))</f>
        <v>2</v>
      </c>
      <c r="T41" s="976"/>
    </row>
    <row r="42" spans="1:22" s="684" customFormat="1" ht="43.15" customHeight="1" x14ac:dyDescent="0.25">
      <c r="A42" s="1012"/>
      <c r="B42" s="769" t="s">
        <v>274</v>
      </c>
      <c r="C42" s="990" t="b">
        <f>+IF(C40&gt;0,RANK(C40,$C$40:$T$40))</f>
        <v>0</v>
      </c>
      <c r="D42" s="991"/>
      <c r="E42" s="992" t="b">
        <f t="shared" ref="E42" si="11">+IF(E40&gt;0,RANK(E40,$C$40:$T$40))</f>
        <v>0</v>
      </c>
      <c r="F42" s="993"/>
      <c r="G42" s="987">
        <f t="shared" ref="G42" si="12">+IF(G40&gt;0,RANK(G40,$C$40:$T$40))</f>
        <v>3</v>
      </c>
      <c r="H42" s="988"/>
      <c r="I42" s="987">
        <f t="shared" ref="I42" si="13">+IF(I40&gt;0,RANK(I40,$C$40:$T$40))</f>
        <v>2</v>
      </c>
      <c r="J42" s="988"/>
      <c r="K42" s="987">
        <f t="shared" ref="K42" si="14">+IF(K40&gt;0,RANK(K40,$C$40:$T$40))</f>
        <v>1</v>
      </c>
      <c r="L42" s="988"/>
      <c r="M42" s="987">
        <f t="shared" ref="M42" si="15">+IF(M40&gt;0,RANK(M40,$C$40:$T$40))</f>
        <v>4</v>
      </c>
      <c r="N42" s="988"/>
      <c r="O42" s="987" t="b">
        <f t="shared" ref="O42" si="16">+IF(O40&gt;0,RANK(O40,$C$40:$T$40))</f>
        <v>0</v>
      </c>
      <c r="P42" s="988"/>
      <c r="Q42" s="987" t="b">
        <f t="shared" ref="Q42" si="17">+IF(Q40&gt;0,RANK(Q40,$C$40:$T$40))</f>
        <v>0</v>
      </c>
      <c r="R42" s="988"/>
      <c r="S42" s="987" t="b">
        <f t="shared" ref="S42" si="18">+IF(S40&gt;0,RANK(S40,$C$40:$T$40))</f>
        <v>0</v>
      </c>
      <c r="T42" s="988"/>
    </row>
    <row r="43" spans="1:22" s="684" customFormat="1" ht="39" customHeight="1" x14ac:dyDescent="0.25">
      <c r="A43" s="729" t="s">
        <v>232</v>
      </c>
      <c r="B43" s="730"/>
      <c r="C43" s="999">
        <f>+INTERCEPT(C18:C22,$A$18:$A$22)</f>
        <v>1999.7</v>
      </c>
      <c r="D43" s="1000"/>
      <c r="E43" s="1001">
        <f>+INTERCEPT(E18:E22,$A$18:$A$22)</f>
        <v>7214.2000000000007</v>
      </c>
      <c r="F43" s="994"/>
      <c r="G43" s="994">
        <f>+INTERCEPT(G18:G22,$A$18:$A$22)</f>
        <v>814</v>
      </c>
      <c r="H43" s="994"/>
      <c r="I43" s="994">
        <f>+INTERCEPT(I18:I22,$A$18:$A$22)</f>
        <v>853.4</v>
      </c>
      <c r="J43" s="994"/>
      <c r="K43" s="994">
        <f>+INTERCEPT(K18:K22,$A$18:$A$22)</f>
        <v>1650</v>
      </c>
      <c r="L43" s="994"/>
      <c r="M43" s="994">
        <f>+INTERCEPT(M18:M22,$A$18:$A$22)</f>
        <v>1936.1000000000001</v>
      </c>
      <c r="N43" s="994"/>
      <c r="O43" s="994">
        <f>+INTERCEPT(O18:O22,$A$18:$A$22)</f>
        <v>5130.3999999999996</v>
      </c>
      <c r="P43" s="994"/>
      <c r="Q43" s="994">
        <f>+INTERCEPT(Q18:Q22,$A$18:$A$22)</f>
        <v>956.69999999999993</v>
      </c>
      <c r="R43" s="994"/>
      <c r="S43" s="994">
        <f>+INTERCEPT(S18:S22,$A$18:$A$22)</f>
        <v>2031.8</v>
      </c>
      <c r="T43" s="1019"/>
    </row>
    <row r="44" spans="1:22" s="684" customFormat="1" ht="70.900000000000006" customHeight="1" x14ac:dyDescent="0.25">
      <c r="A44" s="786" t="s">
        <v>268</v>
      </c>
      <c r="B44" s="770" t="s">
        <v>269</v>
      </c>
      <c r="C44" s="1020">
        <f>+RANK(C43,$C$43:$T$43,0)</f>
        <v>4</v>
      </c>
      <c r="D44" s="1021"/>
      <c r="E44" s="1022">
        <f t="shared" ref="E44" si="19">+RANK(E43,$C$43:$T$43,0)</f>
        <v>1</v>
      </c>
      <c r="F44" s="989"/>
      <c r="G44" s="989">
        <f t="shared" ref="G44" si="20">+RANK(G43,$C$43:$T$43,0)</f>
        <v>9</v>
      </c>
      <c r="H44" s="989"/>
      <c r="I44" s="989">
        <f t="shared" ref="I44" si="21">+RANK(I43,$C$43:$T$43,0)</f>
        <v>8</v>
      </c>
      <c r="J44" s="989"/>
      <c r="K44" s="989">
        <f t="shared" ref="K44" si="22">+RANK(K43,$C$43:$T$43,0)</f>
        <v>6</v>
      </c>
      <c r="L44" s="989"/>
      <c r="M44" s="989">
        <f t="shared" ref="M44" si="23">+RANK(M43,$C$43:$T$43,0)</f>
        <v>5</v>
      </c>
      <c r="N44" s="989"/>
      <c r="O44" s="989">
        <f t="shared" ref="O44" si="24">+RANK(O43,$C$43:$T$43,0)</f>
        <v>2</v>
      </c>
      <c r="P44" s="989"/>
      <c r="Q44" s="989">
        <f t="shared" ref="Q44" si="25">+RANK(Q43,$C$43:$T$43,0)</f>
        <v>7</v>
      </c>
      <c r="R44" s="989"/>
      <c r="S44" s="989">
        <f t="shared" ref="S44" si="26">+RANK(S43,$C$43:$T$43,0)</f>
        <v>3</v>
      </c>
      <c r="T44" s="1013"/>
    </row>
    <row r="45" spans="1:22" s="684" customFormat="1" ht="31.5" customHeight="1" thickBot="1" x14ac:dyDescent="0.3">
      <c r="A45" s="789" t="s">
        <v>233</v>
      </c>
      <c r="B45" s="698"/>
      <c r="C45" s="794">
        <f>+RSQ(C18:C22,$A$18:$A$22)</f>
        <v>0.40143850438843287</v>
      </c>
      <c r="D45" s="795"/>
      <c r="E45" s="759">
        <f>+RSQ(E18:E22,$A$18:$A$22)</f>
        <v>0.50687602280710575</v>
      </c>
      <c r="F45" s="760"/>
      <c r="G45" s="760">
        <f>+RSQ(G18:G22,$A$18:$A$22)</f>
        <v>0.25893842418892082</v>
      </c>
      <c r="H45" s="760"/>
      <c r="I45" s="760">
        <f>+RSQ(I18:I22,$A$18:$A$22)</f>
        <v>0.23520217425537004</v>
      </c>
      <c r="J45" s="760"/>
      <c r="K45" s="760">
        <f>+RSQ(K18:K22,$A$18:$A$22)</f>
        <v>0.87346373550285628</v>
      </c>
      <c r="L45" s="760"/>
      <c r="M45" s="760">
        <f>+RSQ(M18:M22,$A$18:$A$22)</f>
        <v>8.4988294570190942E-2</v>
      </c>
      <c r="N45" s="760"/>
      <c r="O45" s="760">
        <f>+RSQ(O18:O22,$A$18:$A$22)</f>
        <v>0.24962803942015213</v>
      </c>
      <c r="P45" s="760"/>
      <c r="Q45" s="760">
        <f>+RSQ(Q18:Q22,$A$18:$A$22)</f>
        <v>3.0460479685392221E-2</v>
      </c>
      <c r="R45" s="760"/>
      <c r="S45" s="760">
        <f>+RSQ(S18:S22,$A$18:$A$22)</f>
        <v>0.71929294103965569</v>
      </c>
      <c r="T45" s="761"/>
    </row>
  </sheetData>
  <mergeCells count="67">
    <mergeCell ref="S39:T39"/>
    <mergeCell ref="A41:A42"/>
    <mergeCell ref="S44:T44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Q43:R43"/>
    <mergeCell ref="S43:T43"/>
    <mergeCell ref="C44:D44"/>
    <mergeCell ref="E44:F44"/>
    <mergeCell ref="O41:P41"/>
    <mergeCell ref="G44:H44"/>
    <mergeCell ref="I44:J44"/>
    <mergeCell ref="K44:L44"/>
    <mergeCell ref="M44:N44"/>
    <mergeCell ref="O44:P44"/>
    <mergeCell ref="N5:N6"/>
    <mergeCell ref="C41:D41"/>
    <mergeCell ref="E41:F41"/>
    <mergeCell ref="G41:H41"/>
    <mergeCell ref="I41:J41"/>
    <mergeCell ref="K41:L41"/>
    <mergeCell ref="M41:N41"/>
    <mergeCell ref="K40:L40"/>
    <mergeCell ref="A5:B6"/>
    <mergeCell ref="C43:D43"/>
    <mergeCell ref="E43:F43"/>
    <mergeCell ref="G43:H43"/>
    <mergeCell ref="I43:J43"/>
    <mergeCell ref="I40:J40"/>
    <mergeCell ref="E40:F40"/>
    <mergeCell ref="G40:H40"/>
    <mergeCell ref="Q42:R42"/>
    <mergeCell ref="S42:T42"/>
    <mergeCell ref="Q44:R44"/>
    <mergeCell ref="C42:D42"/>
    <mergeCell ref="E42:F42"/>
    <mergeCell ref="G42:H42"/>
    <mergeCell ref="I42:J42"/>
    <mergeCell ref="K42:L42"/>
    <mergeCell ref="K43:L43"/>
    <mergeCell ref="M43:N43"/>
    <mergeCell ref="O43:P43"/>
    <mergeCell ref="M42:N42"/>
    <mergeCell ref="O42:P42"/>
    <mergeCell ref="Q41:R41"/>
    <mergeCell ref="S41:T41"/>
    <mergeCell ref="C38:D38"/>
    <mergeCell ref="M40:N40"/>
    <mergeCell ref="O40:P40"/>
    <mergeCell ref="Q40:R40"/>
    <mergeCell ref="S40:T40"/>
    <mergeCell ref="E38:F38"/>
    <mergeCell ref="G38:H38"/>
    <mergeCell ref="I38:J38"/>
    <mergeCell ref="K38:L38"/>
    <mergeCell ref="M38:N38"/>
    <mergeCell ref="O38:P38"/>
    <mergeCell ref="Q38:R38"/>
    <mergeCell ref="S38:T38"/>
    <mergeCell ref="C40:D40"/>
  </mergeCells>
  <phoneticPr fontId="2" type="noConversion"/>
  <conditionalFormatting sqref="C24:T37">
    <cfRule type="expression" dxfId="10" priority="2">
      <formula>C24=0</formula>
    </cfRule>
  </conditionalFormatting>
  <conditionalFormatting sqref="C41:T42">
    <cfRule type="expression" dxfId="9" priority="1">
      <formula>C41=FALSE</formula>
    </cfRule>
  </conditionalFormatting>
  <printOptions horizontalCentered="1" verticalCentered="1"/>
  <pageMargins left="0.11811023622047245" right="0.11811023622047245" top="0.19685039370078741" bottom="0.15748031496062992" header="0.31496062992125984" footer="0.31496062992125984"/>
  <pageSetup paperSize="9" scale="55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displayEmptyCellsAs="gap" high="1" low="1">
          <x14:colorSeries theme="0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499984740745262"/>
          <x14:colorLow rgb="FFC00000"/>
          <x14:sparklines>
            <x14:sparkline>
              <xm:f>주차별보고v2!O18:O22</xm:f>
              <xm:sqref>O39</xm:sqref>
            </x14:sparkline>
            <x14:sparkline>
              <xm:f>주차별보고v2!M18:M22</xm:f>
              <xm:sqref>M39</xm:sqref>
            </x14:sparkline>
            <x14:sparkline>
              <xm:f>주차별보고v2!K18:K22</xm:f>
              <xm:sqref>K39</xm:sqref>
            </x14:sparkline>
          </x14:sparklines>
        </x14:sparklineGroup>
        <x14:sparklineGroup lineWeight="2.25" displayEmptyCellsAs="gap" high="1" low="1">
          <x14:colorSeries theme="0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499984740745262"/>
          <x14:colorLow rgb="FFC00000"/>
          <x14:sparklines>
            <x14:sparkline>
              <xm:f>주차별보고v2!S18:S22</xm:f>
              <xm:sqref>S39</xm:sqref>
            </x14:sparkline>
            <x14:sparkline>
              <xm:f>주차별보고v2!Q18:Q22</xm:f>
              <xm:sqref>Q39</xm:sqref>
            </x14:sparkline>
          </x14:sparklines>
        </x14:sparklineGroup>
        <x14:sparklineGroup lineWeight="2.25" displayEmptyCellsAs="gap" high="1" low="1">
          <x14:colorSeries theme="0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499984740745262"/>
          <x14:colorLow rgb="FFC00000"/>
          <x14:sparklines>
            <x14:sparkline>
              <xm:f>주차별보고v2!C18:C22</xm:f>
              <xm:sqref>C39</xm:sqref>
            </x14:sparkline>
          </x14:sparklines>
        </x14:sparklineGroup>
        <x14:sparklineGroup lineWeight="2.25" displayEmptyCellsAs="gap" high="1" low="1">
          <x14:colorSeries theme="0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499984740745262"/>
          <x14:colorLow rgb="FFC00000"/>
          <x14:sparklines>
            <x14:sparkline>
              <xm:f>주차별보고v2!I18:I22</xm:f>
              <xm:sqref>I39</xm:sqref>
            </x14:sparkline>
          </x14:sparklines>
        </x14:sparklineGroup>
        <x14:sparklineGroup lineWeight="2.25" displayEmptyCellsAs="gap" high="1" low="1">
          <x14:colorSeries theme="0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499984740745262"/>
          <x14:colorLow rgb="FFC00000"/>
          <x14:sparklines>
            <x14:sparkline>
              <xm:f>주차별보고v2!G18:G22</xm:f>
              <xm:sqref>G39</xm:sqref>
            </x14:sparkline>
          </x14:sparklines>
        </x14:sparklineGroup>
        <x14:sparklineGroup lineWeight="2.25" displayEmptyCellsAs="gap" high="1" low="1">
          <x14:colorSeries theme="0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499984740745262"/>
          <x14:colorLow rgb="FFC00000"/>
          <x14:sparklines>
            <x14:sparkline>
              <xm:f>주차별보고v2!E18:E22</xm:f>
              <xm:sqref>E39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3" tint="-0.249977111117893"/>
    <pageSetUpPr fitToPage="1"/>
  </sheetPr>
  <dimension ref="B39:J55"/>
  <sheetViews>
    <sheetView showGridLines="0" workbookViewId="0"/>
  </sheetViews>
  <sheetFormatPr defaultRowHeight="12.75" x14ac:dyDescent="0.25"/>
  <cols>
    <col min="1" max="1" width="31" bestFit="1" customWidth="1"/>
  </cols>
  <sheetData>
    <row r="39" spans="10:10" x14ac:dyDescent="0.25">
      <c r="J39" s="171"/>
    </row>
    <row r="55" spans="2:10" x14ac:dyDescent="0.25">
      <c r="B55" s="128"/>
      <c r="C55" s="128"/>
      <c r="D55" s="128"/>
      <c r="E55" s="128"/>
      <c r="F55" s="128"/>
      <c r="G55" s="128"/>
      <c r="H55" s="128"/>
      <c r="I55" s="128"/>
      <c r="J55" s="128"/>
    </row>
  </sheetData>
  <phoneticPr fontId="2" type="noConversion"/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4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N57"/>
  <sheetViews>
    <sheetView showGridLines="0" workbookViewId="0"/>
  </sheetViews>
  <sheetFormatPr defaultColWidth="14" defaultRowHeight="29.25" customHeight="1" outlineLevelRow="1" x14ac:dyDescent="0.25"/>
  <cols>
    <col min="1" max="1" width="7.5703125" style="36" customWidth="1"/>
    <col min="2" max="10" width="14.42578125" style="55" customWidth="1"/>
    <col min="11" max="11" width="6.140625" style="36" customWidth="1"/>
    <col min="12" max="16384" width="14" style="36"/>
  </cols>
  <sheetData>
    <row r="1" spans="1:14" ht="61.5" customHeight="1" x14ac:dyDescent="0.25">
      <c r="A1" s="51" t="s">
        <v>26</v>
      </c>
      <c r="B1" s="51"/>
      <c r="C1" s="52"/>
      <c r="D1" s="52"/>
      <c r="E1" s="52"/>
      <c r="F1" s="52"/>
      <c r="G1" s="52"/>
      <c r="H1" s="52"/>
      <c r="I1" s="52"/>
      <c r="J1" s="52"/>
      <c r="K1" s="52"/>
      <c r="M1" s="38" t="s">
        <v>23</v>
      </c>
      <c r="N1" s="39">
        <v>45365</v>
      </c>
    </row>
    <row r="2" spans="1:14" ht="21" customHeight="1" x14ac:dyDescent="0.25">
      <c r="B2" s="53" t="str">
        <f>+TEXT(N1,"yyyy-mm-dd")&amp;TEXT(F7,"   (#,###일차)")</f>
        <v>2024-03-14   (20일차)</v>
      </c>
      <c r="C2" s="54"/>
      <c r="D2" s="54"/>
      <c r="E2" s="54"/>
      <c r="F2" s="54"/>
      <c r="G2" s="54"/>
      <c r="H2" s="54"/>
      <c r="I2" s="54"/>
      <c r="J2" s="54"/>
    </row>
    <row r="3" spans="1:14" ht="29.25" customHeight="1" x14ac:dyDescent="0.25">
      <c r="A3" s="147" t="s">
        <v>28</v>
      </c>
      <c r="I3" s="56"/>
      <c r="J3" s="56" t="s">
        <v>27</v>
      </c>
    </row>
    <row r="4" spans="1:14" ht="29.25" customHeight="1" x14ac:dyDescent="0.25">
      <c r="B4" s="99" t="s">
        <v>48</v>
      </c>
      <c r="C4" s="100"/>
      <c r="D4" s="101">
        <f>+INDEX(요약!$L$11:$L$146,$F$7)</f>
        <v>86</v>
      </c>
      <c r="E4" s="102" t="s">
        <v>42</v>
      </c>
      <c r="F4" s="103">
        <v>40000</v>
      </c>
      <c r="G4" s="104" t="s">
        <v>41</v>
      </c>
      <c r="H4" s="105">
        <f>+F7/$E$7</f>
        <v>0.21505376344086022</v>
      </c>
      <c r="I4" s="106" t="s">
        <v>40</v>
      </c>
      <c r="J4" s="107">
        <f ca="1">+H7/F4</f>
        <v>0.1125</v>
      </c>
    </row>
    <row r="5" spans="1:14" ht="17.25" customHeight="1" x14ac:dyDescent="0.25">
      <c r="B5" s="159"/>
      <c r="C5" s="159"/>
      <c r="D5" s="159"/>
      <c r="E5" s="159"/>
      <c r="F5" s="159"/>
      <c r="G5" s="159"/>
      <c r="H5" s="159"/>
      <c r="I5" s="159"/>
      <c r="J5" s="159"/>
    </row>
    <row r="6" spans="1:14" ht="29.25" customHeight="1" x14ac:dyDescent="0.25">
      <c r="B6" s="108" t="s">
        <v>19</v>
      </c>
      <c r="C6" s="109" t="s">
        <v>6</v>
      </c>
      <c r="D6" s="110" t="s">
        <v>7</v>
      </c>
      <c r="E6" s="111" t="s">
        <v>22</v>
      </c>
      <c r="F6" s="110" t="s">
        <v>18</v>
      </c>
      <c r="G6" s="112" t="s">
        <v>43</v>
      </c>
      <c r="H6" s="113" t="s">
        <v>44</v>
      </c>
      <c r="I6" s="112" t="s">
        <v>25</v>
      </c>
      <c r="J6" s="114" t="s">
        <v>47</v>
      </c>
    </row>
    <row r="7" spans="1:14" ht="25.5" customHeight="1" x14ac:dyDescent="0.25">
      <c r="B7" s="58" t="s">
        <v>24</v>
      </c>
      <c r="C7" s="77">
        <v>45346</v>
      </c>
      <c r="D7" s="77">
        <v>45438</v>
      </c>
      <c r="E7" s="46">
        <f>+D7-C7+1</f>
        <v>93</v>
      </c>
      <c r="F7" s="47">
        <f>+$N$1-$C$7+1</f>
        <v>20</v>
      </c>
      <c r="G7" s="77" t="str">
        <f>+TEXT(C7+F7-1,"yy.mm.dd") &amp;TEXT(C7+F7-1," (aaa)")</f>
        <v>24.03.14 (목)</v>
      </c>
      <c r="H7" s="140">
        <f ca="1">+SUM(OFFSET(요약!$L$11,0,0,'일자별요약 (얼리포함)'!$F$7,1))</f>
        <v>4500</v>
      </c>
      <c r="I7" s="140">
        <f ca="1">+H7/F7</f>
        <v>225</v>
      </c>
      <c r="J7" s="59">
        <f ca="1">+I7*E7</f>
        <v>20925</v>
      </c>
    </row>
    <row r="8" spans="1:14" ht="25.5" customHeight="1" x14ac:dyDescent="0.25">
      <c r="B8" s="60" t="s">
        <v>32</v>
      </c>
      <c r="C8" s="78">
        <v>45195</v>
      </c>
      <c r="D8" s="78">
        <v>45291</v>
      </c>
      <c r="E8" s="48">
        <f>+D8-C8+1</f>
        <v>97</v>
      </c>
      <c r="F8" s="49">
        <f>+F7</f>
        <v>20</v>
      </c>
      <c r="G8" s="78" t="str">
        <f>+TEXT(C8+F8-1,"yy.mm.dd") &amp; " " &amp;TEXT(C8+F8-1,"(aaa)")</f>
        <v>23.10.15 (일)</v>
      </c>
      <c r="H8" s="48">
        <f ca="1">+SUM(OFFSET(요약!$K$11,0,0,'일자별요약 (얼리포함)'!$F$8,1))</f>
        <v>5267</v>
      </c>
      <c r="I8" s="48">
        <f ca="1">+H8/F8</f>
        <v>263.35000000000002</v>
      </c>
      <c r="J8" s="61"/>
    </row>
    <row r="9" spans="1:14" ht="25.5" customHeight="1" x14ac:dyDescent="0.25">
      <c r="B9" s="62" t="s">
        <v>80</v>
      </c>
      <c r="C9" s="139">
        <f>+요약!W35</f>
        <v>4427</v>
      </c>
      <c r="D9" s="138">
        <f>+요약!W38</f>
        <v>142.80645161290323</v>
      </c>
      <c r="E9" s="78" t="s">
        <v>79</v>
      </c>
      <c r="F9" s="139">
        <f>+요약!W36</f>
        <v>4949</v>
      </c>
      <c r="G9" s="137">
        <f>+요약!W39</f>
        <v>353.5</v>
      </c>
      <c r="H9" s="130">
        <f ca="1">+H7-H8</f>
        <v>-767</v>
      </c>
      <c r="I9" s="130">
        <f ca="1">+I7-I8</f>
        <v>-38.350000000000023</v>
      </c>
      <c r="J9" s="61"/>
      <c r="L9" s="36" t="b">
        <f ca="1">+SUM(C9:F9)=H7</f>
        <v>0</v>
      </c>
    </row>
    <row r="10" spans="1:14" ht="17.25" customHeight="1" x14ac:dyDescent="0.25"/>
    <row r="11" spans="1:14" ht="22.5" hidden="1" customHeight="1" outlineLevel="1" x14ac:dyDescent="0.25">
      <c r="B11" s="76" t="s">
        <v>59</v>
      </c>
    </row>
    <row r="12" spans="1:14" ht="22.5" hidden="1" customHeight="1" outlineLevel="1" x14ac:dyDescent="0.25">
      <c r="B12" s="914" t="s">
        <v>49</v>
      </c>
      <c r="C12" s="908" t="s">
        <v>53</v>
      </c>
      <c r="D12" s="908" t="s">
        <v>54</v>
      </c>
      <c r="E12" s="910" t="s">
        <v>55</v>
      </c>
      <c r="F12" s="79"/>
      <c r="G12" s="910" t="s">
        <v>56</v>
      </c>
      <c r="H12" s="79"/>
      <c r="I12" s="908" t="s">
        <v>62</v>
      </c>
      <c r="J12" s="903" t="s">
        <v>63</v>
      </c>
    </row>
    <row r="13" spans="1:14" ht="22.5" hidden="1" customHeight="1" outlineLevel="1" x14ac:dyDescent="0.25">
      <c r="B13" s="915"/>
      <c r="C13" s="909"/>
      <c r="D13" s="909"/>
      <c r="E13" s="909"/>
      <c r="F13" s="81" t="s">
        <v>57</v>
      </c>
      <c r="G13" s="909"/>
      <c r="H13" s="81" t="s">
        <v>61</v>
      </c>
      <c r="I13" s="909"/>
      <c r="J13" s="904"/>
    </row>
    <row r="14" spans="1:14" ht="21" hidden="1" customHeight="1" outlineLevel="1" x14ac:dyDescent="0.25">
      <c r="B14" s="96" t="s">
        <v>50</v>
      </c>
      <c r="C14" s="90">
        <v>9000</v>
      </c>
      <c r="D14" s="90">
        <v>6141</v>
      </c>
      <c r="E14" s="115">
        <v>620</v>
      </c>
      <c r="F14" s="116">
        <f>+E14/D14*100</f>
        <v>10.096075557726754</v>
      </c>
      <c r="G14" s="90">
        <v>1100</v>
      </c>
      <c r="H14" s="91">
        <f>+G14/(D14-E14)*100</f>
        <v>19.923926824850572</v>
      </c>
      <c r="I14" s="90">
        <f>+D14-E14-G14</f>
        <v>4421</v>
      </c>
      <c r="J14" s="905">
        <f ca="1">+G18/H7</f>
        <v>0.5013333333333333</v>
      </c>
    </row>
    <row r="15" spans="1:14" ht="21" hidden="1" customHeight="1" outlineLevel="1" x14ac:dyDescent="0.25">
      <c r="B15" s="96" t="s">
        <v>60</v>
      </c>
      <c r="C15" s="92">
        <v>9000</v>
      </c>
      <c r="D15" s="92">
        <v>618</v>
      </c>
      <c r="E15" s="117">
        <v>42</v>
      </c>
      <c r="F15" s="118">
        <f t="shared" ref="F15:F18" si="0">+E15/D15*100</f>
        <v>6.7961165048543686</v>
      </c>
      <c r="G15" s="92">
        <v>177</v>
      </c>
      <c r="H15" s="93">
        <f t="shared" ref="H15:H18" si="1">+G15/(D15-E15)*100</f>
        <v>30.729166666666668</v>
      </c>
      <c r="I15" s="92">
        <f t="shared" ref="I15:I17" si="2">+D15-E15-G15</f>
        <v>399</v>
      </c>
      <c r="J15" s="906"/>
    </row>
    <row r="16" spans="1:14" ht="21" hidden="1" customHeight="1" outlineLevel="1" x14ac:dyDescent="0.25">
      <c r="B16" s="96" t="s">
        <v>51</v>
      </c>
      <c r="C16" s="92">
        <v>9000</v>
      </c>
      <c r="D16" s="92">
        <v>2535</v>
      </c>
      <c r="E16" s="117">
        <v>213</v>
      </c>
      <c r="F16" s="118">
        <f t="shared" si="0"/>
        <v>8.4023668639053248</v>
      </c>
      <c r="G16" s="92">
        <v>594</v>
      </c>
      <c r="H16" s="93">
        <f t="shared" si="1"/>
        <v>25.581395348837212</v>
      </c>
      <c r="I16" s="92">
        <f t="shared" si="2"/>
        <v>1728</v>
      </c>
      <c r="J16" s="906"/>
    </row>
    <row r="17" spans="1:10" ht="21" hidden="1" customHeight="1" outlineLevel="1" x14ac:dyDescent="0.25">
      <c r="B17" s="96" t="s">
        <v>52</v>
      </c>
      <c r="C17" s="92">
        <v>9000</v>
      </c>
      <c r="D17" s="92">
        <v>3293</v>
      </c>
      <c r="E17" s="117">
        <v>391</v>
      </c>
      <c r="F17" s="118">
        <f t="shared" si="0"/>
        <v>11.873671424233221</v>
      </c>
      <c r="G17" s="92">
        <v>385</v>
      </c>
      <c r="H17" s="93">
        <f t="shared" si="1"/>
        <v>13.26671261199173</v>
      </c>
      <c r="I17" s="92">
        <f t="shared" si="2"/>
        <v>2517</v>
      </c>
      <c r="J17" s="906"/>
    </row>
    <row r="18" spans="1:10" ht="21" hidden="1" customHeight="1" outlineLevel="1" x14ac:dyDescent="0.25">
      <c r="B18" s="97" t="s">
        <v>58</v>
      </c>
      <c r="C18" s="94">
        <v>9000</v>
      </c>
      <c r="D18" s="94">
        <f>+SUM(D14:D17)</f>
        <v>12587</v>
      </c>
      <c r="E18" s="119">
        <f>+SUM(E14:E17)</f>
        <v>1266</v>
      </c>
      <c r="F18" s="120">
        <f t="shared" si="0"/>
        <v>10.057996345435766</v>
      </c>
      <c r="G18" s="98">
        <f>+SUM(G14:G17)</f>
        <v>2256</v>
      </c>
      <c r="H18" s="95">
        <f t="shared" si="1"/>
        <v>19.927568236021553</v>
      </c>
      <c r="I18" s="98">
        <f>+SUM(I14:I17)</f>
        <v>9065</v>
      </c>
      <c r="J18" s="907"/>
    </row>
    <row r="19" spans="1:10" customFormat="1" ht="14.25" hidden="1" customHeight="1" outlineLevel="1" x14ac:dyDescent="0.25">
      <c r="B19" s="128"/>
      <c r="C19" s="128"/>
      <c r="D19" s="128"/>
      <c r="E19" s="128"/>
      <c r="F19" s="128"/>
      <c r="G19" s="128"/>
      <c r="H19" s="128"/>
      <c r="I19" s="128"/>
      <c r="J19" s="128"/>
    </row>
    <row r="20" spans="1:10" ht="29.25" customHeight="1" collapsed="1" x14ac:dyDescent="0.25">
      <c r="A20" s="147" t="s">
        <v>38</v>
      </c>
    </row>
    <row r="21" spans="1:10" ht="29.25" customHeight="1" x14ac:dyDescent="0.25">
      <c r="B21" s="160" t="s">
        <v>29</v>
      </c>
      <c r="C21" s="161">
        <v>19</v>
      </c>
      <c r="D21" s="161">
        <f>+C21-1</f>
        <v>18</v>
      </c>
      <c r="E21" s="161">
        <f t="shared" ref="E21:I21" si="3">+D21-1</f>
        <v>17</v>
      </c>
      <c r="F21" s="161">
        <f t="shared" si="3"/>
        <v>16</v>
      </c>
      <c r="G21" s="161">
        <f t="shared" si="3"/>
        <v>15</v>
      </c>
      <c r="H21" s="161">
        <f t="shared" si="3"/>
        <v>14</v>
      </c>
      <c r="I21" s="161">
        <f t="shared" si="3"/>
        <v>13</v>
      </c>
      <c r="J21" s="121"/>
    </row>
    <row r="22" spans="1:10" ht="22.5" customHeight="1" x14ac:dyDescent="0.25">
      <c r="B22" s="123" t="s">
        <v>69</v>
      </c>
      <c r="C22" s="126">
        <f>+$N$1</f>
        <v>45365</v>
      </c>
      <c r="D22" s="126">
        <f>+C22-1</f>
        <v>45364</v>
      </c>
      <c r="E22" s="126">
        <f>+D22-1</f>
        <v>45363</v>
      </c>
      <c r="F22" s="126">
        <f>+E22-1</f>
        <v>45362</v>
      </c>
      <c r="G22" s="126">
        <f>+F22-1</f>
        <v>45361</v>
      </c>
      <c r="H22" s="126">
        <f>+G22-1</f>
        <v>45360</v>
      </c>
      <c r="I22" s="126">
        <f>+H22-1</f>
        <v>45359</v>
      </c>
      <c r="J22" s="127" t="s">
        <v>85</v>
      </c>
    </row>
    <row r="23" spans="1:10" ht="22.5" customHeight="1" thickBot="1" x14ac:dyDescent="0.3">
      <c r="B23" s="123" t="s">
        <v>70</v>
      </c>
      <c r="C23" s="124" t="str">
        <f>+TEXT(C22,"aaa")</f>
        <v>목</v>
      </c>
      <c r="D23" s="124" t="str">
        <f t="shared" ref="D23:I23" si="4">+TEXT(D22,"aaa")</f>
        <v>수</v>
      </c>
      <c r="E23" s="124" t="str">
        <f t="shared" si="4"/>
        <v>화</v>
      </c>
      <c r="F23" s="124" t="str">
        <f t="shared" si="4"/>
        <v>월</v>
      </c>
      <c r="G23" s="124" t="str">
        <f t="shared" si="4"/>
        <v>일</v>
      </c>
      <c r="H23" s="124" t="str">
        <f t="shared" si="4"/>
        <v>토</v>
      </c>
      <c r="I23" s="124" t="str">
        <f t="shared" si="4"/>
        <v>금</v>
      </c>
      <c r="J23" s="125"/>
    </row>
    <row r="24" spans="1:10" ht="21.75" customHeight="1" thickBot="1" x14ac:dyDescent="0.3">
      <c r="B24" s="162" t="s">
        <v>24</v>
      </c>
      <c r="C24" s="163">
        <f>+SUMPRODUCT((요약!$D$11:$L$136)*(요약!$D$6:$L$6=$B24)*(요약!$C$11:$C$136=C$21))</f>
        <v>125</v>
      </c>
      <c r="D24" s="163">
        <f>+SUMPRODUCT((요약!$D$11:$L$136)*(요약!$D$6:$L$6=$B24)*(요약!$C$11:$C$136=D$21))</f>
        <v>109</v>
      </c>
      <c r="E24" s="163">
        <f>+SUMPRODUCT((요약!$D$11:$L$136)*(요약!$D$6:$L$6=$B24)*(요약!$C$11:$C$136=E$21))</f>
        <v>114</v>
      </c>
      <c r="F24" s="163">
        <f>+SUMPRODUCT((요약!$D$11:$L$136)*(요약!$D$6:$L$6=$B24)*(요약!$C$11:$C$136=F$21))</f>
        <v>282</v>
      </c>
      <c r="G24" s="163">
        <f>+SUMPRODUCT((요약!$D$11:$L$136)*(요약!$D$6:$L$6=$B24)*(요약!$C$11:$C$136=G$21))</f>
        <v>413</v>
      </c>
      <c r="H24" s="163">
        <f>+SUMPRODUCT((요약!$D$11:$L$136)*(요약!$D$6:$L$6=$B24)*(요약!$C$11:$C$136=H$21))</f>
        <v>102</v>
      </c>
      <c r="I24" s="163">
        <f>+SUMPRODUCT((요약!$D$11:$L$136)*(요약!$D$6:$L$6=$B24)*(요약!$C$11:$C$136=I$21))</f>
        <v>109</v>
      </c>
      <c r="J24" s="164"/>
    </row>
    <row r="25" spans="1:10" ht="21.75" customHeight="1" x14ac:dyDescent="0.25">
      <c r="B25" s="63" t="s">
        <v>32</v>
      </c>
      <c r="C25" s="44">
        <f>+SUMPRODUCT((요약!$D$11:$L$136)*(요약!$D$6:$L$6=$B25)*(요약!$C$11:$C$136=C$21))</f>
        <v>567</v>
      </c>
      <c r="D25" s="44">
        <f>+SUMPRODUCT((요약!$D$11:$L$136)*(요약!$D$6:$L$6=$B25)*(요약!$C$11:$C$136=D$21))</f>
        <v>189</v>
      </c>
      <c r="E25" s="44">
        <f>+SUMPRODUCT((요약!$D$11:$L$136)*(요약!$D$6:$L$6=$B25)*(요약!$C$11:$C$136=E$21))</f>
        <v>236</v>
      </c>
      <c r="F25" s="44">
        <f>+SUMPRODUCT((요약!$D$11:$L$136)*(요약!$D$6:$L$6=$B25)*(요약!$C$11:$C$136=F$21))</f>
        <v>99</v>
      </c>
      <c r="G25" s="44">
        <f>+SUMPRODUCT((요약!$D$11:$L$136)*(요약!$D$6:$L$6=$B25)*(요약!$C$11:$C$136=G$21))</f>
        <v>126</v>
      </c>
      <c r="H25" s="44">
        <f>+SUMPRODUCT((요약!$D$11:$L$136)*(요약!$D$6:$L$6=$B25)*(요약!$C$11:$C$136=H$21))</f>
        <v>371</v>
      </c>
      <c r="I25" s="44">
        <f>+SUMPRODUCT((요약!$D$11:$L$136)*(요약!$D$6:$L$6=$B25)*(요약!$C$11:$C$136=I$21))</f>
        <v>404</v>
      </c>
      <c r="J25" s="64"/>
    </row>
    <row r="26" spans="1:10" ht="21.75" customHeight="1" x14ac:dyDescent="0.25">
      <c r="B26" s="63" t="s">
        <v>30</v>
      </c>
      <c r="C26" s="44">
        <f>+SUMPRODUCT((요약!$D$11:$L$136)*(요약!$D$6:$L$6=$B26)*(요약!$C$11:$C$136=C$21))</f>
        <v>184</v>
      </c>
      <c r="D26" s="44">
        <f>+SUMPRODUCT((요약!$D$11:$L$136)*(요약!$D$6:$L$6=$B26)*(요약!$C$11:$C$136=D$21))</f>
        <v>213</v>
      </c>
      <c r="E26" s="44">
        <f>+SUMPRODUCT((요약!$D$11:$L$136)*(요약!$D$6:$L$6=$B26)*(요약!$C$11:$C$136=E$21))</f>
        <v>134</v>
      </c>
      <c r="F26" s="44">
        <f>+SUMPRODUCT((요약!$D$11:$L$136)*(요약!$D$6:$L$6=$B26)*(요약!$C$11:$C$136=F$21))</f>
        <v>107</v>
      </c>
      <c r="G26" s="44">
        <f>+SUMPRODUCT((요약!$D$11:$L$136)*(요약!$D$6:$L$6=$B26)*(요약!$C$11:$C$136=G$21))</f>
        <v>111</v>
      </c>
      <c r="H26" s="44">
        <f>+SUMPRODUCT((요약!$D$11:$L$136)*(요약!$D$6:$L$6=$B26)*(요약!$C$11:$C$136=H$21))</f>
        <v>84</v>
      </c>
      <c r="I26" s="44">
        <f>+SUMPRODUCT((요약!$D$11:$L$136)*(요약!$D$6:$L$6=$B26)*(요약!$C$11:$C$136=I$21))</f>
        <v>85</v>
      </c>
      <c r="J26" s="64"/>
    </row>
    <row r="27" spans="1:10" ht="21.75" customHeight="1" x14ac:dyDescent="0.25">
      <c r="B27" s="63" t="s">
        <v>31</v>
      </c>
      <c r="C27" s="44">
        <f>+SUMPRODUCT((요약!$D$11:$L$136)*(요약!$D$6:$L$6=$B27)*(요약!$C$11:$C$136=C$21))</f>
        <v>424</v>
      </c>
      <c r="D27" s="44">
        <f>+SUMPRODUCT((요약!$D$11:$L$136)*(요약!$D$6:$L$6=$B27)*(요약!$C$11:$C$136=D$21))</f>
        <v>350</v>
      </c>
      <c r="E27" s="44">
        <f>+SUMPRODUCT((요약!$D$11:$L$136)*(요약!$D$6:$L$6=$B27)*(요약!$C$11:$C$136=E$21))</f>
        <v>395</v>
      </c>
      <c r="F27" s="44">
        <f>+SUMPRODUCT((요약!$D$11:$L$136)*(요약!$D$6:$L$6=$B27)*(요약!$C$11:$C$136=F$21))</f>
        <v>959</v>
      </c>
      <c r="G27" s="44">
        <f>+SUMPRODUCT((요약!$D$11:$L$136)*(요약!$D$6:$L$6=$B27)*(요약!$C$11:$C$136=G$21))</f>
        <v>1098</v>
      </c>
      <c r="H27" s="44">
        <f>+SUMPRODUCT((요약!$D$11:$L$136)*(요약!$D$6:$L$6=$B27)*(요약!$C$11:$C$136=H$21))</f>
        <v>415</v>
      </c>
      <c r="I27" s="44">
        <f>+SUMPRODUCT((요약!$D$11:$L$136)*(요약!$D$6:$L$6=$B27)*(요약!$C$11:$C$136=I$21))</f>
        <v>339</v>
      </c>
      <c r="J27" s="64"/>
    </row>
    <row r="28" spans="1:10" ht="21.75" customHeight="1" x14ac:dyDescent="0.25">
      <c r="B28" s="63" t="s">
        <v>33</v>
      </c>
      <c r="C28" s="44">
        <f>+SUMPRODUCT((요약!$D$11:$L$136)*(요약!$D$6:$L$6=$B28)*(요약!$C$11:$C$136=C$21))</f>
        <v>215</v>
      </c>
      <c r="D28" s="44">
        <f>+SUMPRODUCT((요약!$D$11:$L$136)*(요약!$D$6:$L$6=$B28)*(요약!$C$11:$C$136=D$21))</f>
        <v>474</v>
      </c>
      <c r="E28" s="44">
        <f>+SUMPRODUCT((요약!$D$11:$L$136)*(요약!$D$6:$L$6=$B28)*(요약!$C$11:$C$136=E$21))</f>
        <v>438</v>
      </c>
      <c r="F28" s="44">
        <f>+SUMPRODUCT((요약!$D$11:$L$136)*(요약!$D$6:$L$6=$B28)*(요약!$C$11:$C$136=F$21))</f>
        <v>453</v>
      </c>
      <c r="G28" s="44">
        <f>+SUMPRODUCT((요약!$D$11:$L$136)*(요약!$D$6:$L$6=$B28)*(요약!$C$11:$C$136=G$21))</f>
        <v>221</v>
      </c>
      <c r="H28" s="44">
        <f>+SUMPRODUCT((요약!$D$11:$L$136)*(요약!$D$6:$L$6=$B28)*(요약!$C$11:$C$136=H$21))</f>
        <v>181</v>
      </c>
      <c r="I28" s="44">
        <f>+SUMPRODUCT((요약!$D$11:$L$136)*(요약!$D$6:$L$6=$B28)*(요약!$C$11:$C$136=I$21))</f>
        <v>226</v>
      </c>
      <c r="J28" s="64"/>
    </row>
    <row r="29" spans="1:10" ht="21.75" customHeight="1" x14ac:dyDescent="0.25">
      <c r="B29" s="63" t="s">
        <v>34</v>
      </c>
      <c r="C29" s="44">
        <f>+SUMPRODUCT((요약!$D$11:$L$136)*(요약!$D$6:$L$6=$B29)*(요약!$C$11:$C$136=C$21))</f>
        <v>230</v>
      </c>
      <c r="D29" s="44">
        <f>+SUMPRODUCT((요약!$D$11:$L$136)*(요약!$D$6:$L$6=$B29)*(요약!$C$11:$C$136=D$21))</f>
        <v>119</v>
      </c>
      <c r="E29" s="44">
        <f>+SUMPRODUCT((요약!$D$11:$L$136)*(요약!$D$6:$L$6=$B29)*(요약!$C$11:$C$136=E$21))</f>
        <v>174</v>
      </c>
      <c r="F29" s="44">
        <f>+SUMPRODUCT((요약!$D$11:$L$136)*(요약!$D$6:$L$6=$B29)*(요약!$C$11:$C$136=F$21))</f>
        <v>137</v>
      </c>
      <c r="G29" s="44">
        <f>+SUMPRODUCT((요약!$D$11:$L$136)*(요약!$D$6:$L$6=$B29)*(요약!$C$11:$C$136=G$21))</f>
        <v>131</v>
      </c>
      <c r="H29" s="44">
        <f>+SUMPRODUCT((요약!$D$11:$L$136)*(요약!$D$6:$L$6=$B29)*(요약!$C$11:$C$136=H$21))</f>
        <v>470</v>
      </c>
      <c r="I29" s="44">
        <f>+SUMPRODUCT((요약!$D$11:$L$136)*(요약!$D$6:$L$6=$B29)*(요약!$C$11:$C$136=I$21))</f>
        <v>569</v>
      </c>
      <c r="J29" s="122"/>
    </row>
    <row r="30" spans="1:10" ht="21.75" customHeight="1" x14ac:dyDescent="0.25">
      <c r="B30" s="65" t="s">
        <v>35</v>
      </c>
      <c r="C30" s="44">
        <f>+SUMPRODUCT((요약!$D$11:$L$136)*(요약!$D$6:$L$6=$B30)*(요약!$C$11:$C$136=C$21))</f>
        <v>0</v>
      </c>
      <c r="D30" s="44">
        <f>+SUMPRODUCT((요약!$D$11:$L$136)*(요약!$D$6:$L$6=$B30)*(요약!$C$11:$C$136=D$21))</f>
        <v>265</v>
      </c>
      <c r="E30" s="44">
        <f>+SUMPRODUCT((요약!$D$11:$L$136)*(요약!$D$6:$L$6=$B30)*(요약!$C$11:$C$136=E$21))</f>
        <v>331</v>
      </c>
      <c r="F30" s="44">
        <f>+SUMPRODUCT((요약!$D$11:$L$136)*(요약!$D$6:$L$6=$B30)*(요약!$C$11:$C$136=F$21))</f>
        <v>82</v>
      </c>
      <c r="G30" s="44">
        <f>+SUMPRODUCT((요약!$D$11:$L$136)*(요약!$D$6:$L$6=$B30)*(요약!$C$11:$C$136=G$21))</f>
        <v>44</v>
      </c>
      <c r="H30" s="44">
        <f>+SUMPRODUCT((요약!$D$11:$L$136)*(요약!$D$6:$L$6=$B30)*(요약!$C$11:$C$136=H$21))</f>
        <v>72</v>
      </c>
      <c r="I30" s="44">
        <f>+SUMPRODUCT((요약!$D$11:$L$136)*(요약!$D$6:$L$6=$B30)*(요약!$C$11:$C$136=I$21))</f>
        <v>38</v>
      </c>
      <c r="J30" s="122"/>
    </row>
    <row r="31" spans="1:10" ht="21.75" customHeight="1" x14ac:dyDescent="0.25">
      <c r="B31" s="65" t="s">
        <v>36</v>
      </c>
      <c r="C31" s="44">
        <f>+SUMPRODUCT((요약!$D$11:$L$136)*(요약!$D$6:$L$6=$B31)*(요약!$C$11:$C$136=C$21))</f>
        <v>93</v>
      </c>
      <c r="D31" s="44">
        <f>+SUMPRODUCT((요약!$D$11:$L$136)*(요약!$D$6:$L$6=$B31)*(요약!$C$11:$C$136=D$21))</f>
        <v>105</v>
      </c>
      <c r="E31" s="44">
        <f>+SUMPRODUCT((요약!$D$11:$L$136)*(요약!$D$6:$L$6=$B31)*(요약!$C$11:$C$136=E$21))</f>
        <v>236</v>
      </c>
      <c r="F31" s="44">
        <f>+SUMPRODUCT((요약!$D$11:$L$136)*(요약!$D$6:$L$6=$B31)*(요약!$C$11:$C$136=F$21))</f>
        <v>281</v>
      </c>
      <c r="G31" s="44">
        <f>+SUMPRODUCT((요약!$D$11:$L$136)*(요약!$D$6:$L$6=$B31)*(요약!$C$11:$C$136=G$21))</f>
        <v>99</v>
      </c>
      <c r="H31" s="44">
        <f>+SUMPRODUCT((요약!$D$11:$L$136)*(요약!$D$6:$L$6=$B31)*(요약!$C$11:$C$136=H$21))</f>
        <v>104</v>
      </c>
      <c r="I31" s="44">
        <f>+SUMPRODUCT((요약!$D$11:$L$136)*(요약!$D$6:$L$6=$B31)*(요약!$C$11:$C$136=I$21))</f>
        <v>90</v>
      </c>
      <c r="J31" s="122"/>
    </row>
    <row r="32" spans="1:10" ht="21.75" customHeight="1" x14ac:dyDescent="0.25">
      <c r="B32" s="66" t="s">
        <v>37</v>
      </c>
      <c r="C32" s="44">
        <f>+SUMPRODUCT((요약!$D$11:$L$136)*(요약!$D$6:$L$6=$B32)*(요약!$C$11:$C$136=C$21))</f>
        <v>649</v>
      </c>
      <c r="D32" s="44">
        <f>+SUMPRODUCT((요약!$D$11:$L$136)*(요약!$D$6:$L$6=$B32)*(요약!$C$11:$C$136=D$21))</f>
        <v>1210</v>
      </c>
      <c r="E32" s="44">
        <f>+SUMPRODUCT((요약!$D$11:$L$136)*(요약!$D$6:$L$6=$B32)*(요약!$C$11:$C$136=E$21))</f>
        <v>1741</v>
      </c>
      <c r="F32" s="44">
        <f>+SUMPRODUCT((요약!$D$11:$L$136)*(요약!$D$6:$L$6=$B32)*(요약!$C$11:$C$136=F$21))</f>
        <v>676</v>
      </c>
      <c r="G32" s="44">
        <f>+SUMPRODUCT((요약!$D$11:$L$136)*(요약!$D$6:$L$6=$B32)*(요약!$C$11:$C$136=G$21))</f>
        <v>450</v>
      </c>
      <c r="H32" s="44">
        <f>+SUMPRODUCT((요약!$D$11:$L$136)*(요약!$D$6:$L$6=$B32)*(요약!$C$11:$C$136=H$21))</f>
        <v>572</v>
      </c>
      <c r="I32" s="44">
        <f>+SUMPRODUCT((요약!$D$11:$L$136)*(요약!$D$6:$L$6=$B32)*(요약!$C$11:$C$136=I$21))</f>
        <v>547</v>
      </c>
      <c r="J32" s="67"/>
    </row>
    <row r="33" spans="1:10" ht="21.75" customHeight="1" x14ac:dyDescent="0.25">
      <c r="B33" s="68" t="s">
        <v>39</v>
      </c>
      <c r="C33" s="37">
        <f>+AVERAGE(C25:C32)</f>
        <v>295.25</v>
      </c>
      <c r="D33" s="37">
        <f t="shared" ref="D33:I33" si="5">+AVERAGE(D25:D32)</f>
        <v>365.625</v>
      </c>
      <c r="E33" s="37">
        <f t="shared" si="5"/>
        <v>460.625</v>
      </c>
      <c r="F33" s="37">
        <f t="shared" si="5"/>
        <v>349.25</v>
      </c>
      <c r="G33" s="37">
        <f t="shared" si="5"/>
        <v>285</v>
      </c>
      <c r="H33" s="37">
        <f t="shared" si="5"/>
        <v>283.625</v>
      </c>
      <c r="I33" s="37">
        <f t="shared" si="5"/>
        <v>287.25</v>
      </c>
      <c r="J33" s="67"/>
    </row>
    <row r="34" spans="1:10" ht="21.75" customHeight="1" x14ac:dyDescent="0.25">
      <c r="B34" s="69" t="s">
        <v>64</v>
      </c>
      <c r="C34" s="43">
        <f>+C24-C33</f>
        <v>-170.25</v>
      </c>
      <c r="D34" s="43">
        <f t="shared" ref="D34:I34" si="6">+D24-D33</f>
        <v>-256.625</v>
      </c>
      <c r="E34" s="43">
        <f t="shared" si="6"/>
        <v>-346.625</v>
      </c>
      <c r="F34" s="43">
        <f t="shared" si="6"/>
        <v>-67.25</v>
      </c>
      <c r="G34" s="43">
        <f t="shared" si="6"/>
        <v>128</v>
      </c>
      <c r="H34" s="43">
        <f t="shared" si="6"/>
        <v>-181.625</v>
      </c>
      <c r="I34" s="43">
        <f t="shared" si="6"/>
        <v>-178.25</v>
      </c>
      <c r="J34" s="70"/>
    </row>
    <row r="35" spans="1:10" ht="21.75" customHeight="1" x14ac:dyDescent="0.25">
      <c r="B35" s="71" t="s">
        <v>65</v>
      </c>
      <c r="C35" s="37">
        <f>+AVERAGE(C31,C30)</f>
        <v>46.5</v>
      </c>
      <c r="D35" s="37">
        <f t="shared" ref="D35:I35" si="7">+AVERAGE(D31,D30)</f>
        <v>185</v>
      </c>
      <c r="E35" s="37">
        <f t="shared" si="7"/>
        <v>283.5</v>
      </c>
      <c r="F35" s="37">
        <f t="shared" si="7"/>
        <v>181.5</v>
      </c>
      <c r="G35" s="37">
        <f t="shared" si="7"/>
        <v>71.5</v>
      </c>
      <c r="H35" s="37">
        <f t="shared" si="7"/>
        <v>88</v>
      </c>
      <c r="I35" s="37">
        <f t="shared" si="7"/>
        <v>64</v>
      </c>
      <c r="J35" s="67"/>
    </row>
    <row r="36" spans="1:10" ht="21.75" customHeight="1" x14ac:dyDescent="0.25">
      <c r="B36" s="72" t="s">
        <v>64</v>
      </c>
      <c r="C36" s="50">
        <f>+C24-C35</f>
        <v>78.5</v>
      </c>
      <c r="D36" s="50">
        <f t="shared" ref="D36:I36" si="8">+D24-D35</f>
        <v>-76</v>
      </c>
      <c r="E36" s="50">
        <f t="shared" si="8"/>
        <v>-169.5</v>
      </c>
      <c r="F36" s="50">
        <f t="shared" si="8"/>
        <v>100.5</v>
      </c>
      <c r="G36" s="50">
        <f t="shared" si="8"/>
        <v>341.5</v>
      </c>
      <c r="H36" s="50">
        <f t="shared" si="8"/>
        <v>14</v>
      </c>
      <c r="I36" s="50">
        <f t="shared" si="8"/>
        <v>45</v>
      </c>
      <c r="J36" s="73"/>
    </row>
    <row r="37" spans="1:10" ht="21.75" customHeight="1" x14ac:dyDescent="0.25">
      <c r="B37" s="55" t="s">
        <v>68</v>
      </c>
    </row>
    <row r="38" spans="1:10" ht="18" customHeight="1" x14ac:dyDescent="0.25"/>
    <row r="39" spans="1:10" s="55" customFormat="1" ht="25.5" customHeight="1" x14ac:dyDescent="0.25">
      <c r="A39" s="147" t="s">
        <v>84</v>
      </c>
      <c r="C39" s="141"/>
      <c r="D39" s="141"/>
      <c r="E39" s="141"/>
      <c r="F39" s="141"/>
      <c r="G39" s="141"/>
      <c r="H39" s="141"/>
      <c r="I39" s="141"/>
      <c r="J39" s="142">
        <f>+F8</f>
        <v>20</v>
      </c>
    </row>
    <row r="40" spans="1:10" s="55" customFormat="1" ht="21" customHeight="1" x14ac:dyDescent="0.25">
      <c r="B40" s="57" t="str">
        <f>+요약!O30</f>
        <v>바스키아</v>
      </c>
      <c r="C40" s="45" t="str">
        <f>+요약!P30</f>
        <v>김정기</v>
      </c>
      <c r="D40" s="45" t="str">
        <f>+요약!Q30</f>
        <v>드리머</v>
      </c>
      <c r="E40" s="45" t="str">
        <f>+요약!R30</f>
        <v>알렉스</v>
      </c>
      <c r="F40" s="45" t="str">
        <f>+요약!S30</f>
        <v>페어리</v>
      </c>
      <c r="G40" s="45" t="str">
        <f>+요약!T30</f>
        <v>마르지엘라</v>
      </c>
      <c r="H40" s="45" t="str">
        <f>+요약!U30</f>
        <v>제이알</v>
      </c>
      <c r="I40" s="75" t="str">
        <f>+요약!V30</f>
        <v>오스틴 리</v>
      </c>
      <c r="J40" s="75" t="str">
        <f>+요약!W30</f>
        <v>윤협</v>
      </c>
    </row>
    <row r="41" spans="1:10" s="55" customFormat="1" ht="21" customHeight="1" x14ac:dyDescent="0.25">
      <c r="A41" s="158" t="s">
        <v>76</v>
      </c>
      <c r="B41" s="148">
        <f>+요약!O33</f>
        <v>32</v>
      </c>
      <c r="C41" s="149">
        <f>+요약!P33</f>
        <v>31</v>
      </c>
      <c r="D41" s="149">
        <f>+요약!Q33</f>
        <v>32</v>
      </c>
      <c r="E41" s="149">
        <f>+요약!R33</f>
        <v>33</v>
      </c>
      <c r="F41" s="149">
        <f>+요약!S33</f>
        <v>31</v>
      </c>
      <c r="G41" s="149">
        <f>+요약!T33</f>
        <v>31</v>
      </c>
      <c r="H41" s="149">
        <f>+요약!U33</f>
        <v>33</v>
      </c>
      <c r="I41" s="149">
        <f>+요약!V33</f>
        <v>33</v>
      </c>
      <c r="J41" s="150">
        <f>+요약!W33</f>
        <v>31</v>
      </c>
    </row>
    <row r="42" spans="1:10" s="55" customFormat="1" ht="21" customHeight="1" x14ac:dyDescent="0.25">
      <c r="A42" s="158" t="s">
        <v>81</v>
      </c>
      <c r="B42" s="143">
        <f>+요약!O35</f>
        <v>21452</v>
      </c>
      <c r="C42" s="144">
        <f>+요약!P35</f>
        <v>2907</v>
      </c>
      <c r="D42" s="144">
        <f>+요약!Q35</f>
        <v>2934</v>
      </c>
      <c r="E42" s="144">
        <f>+요약!R35</f>
        <v>6633</v>
      </c>
      <c r="F42" s="144">
        <f>+요약!S35</f>
        <v>6240</v>
      </c>
      <c r="G42" s="144">
        <f>+요약!T35</f>
        <v>14138</v>
      </c>
      <c r="H42" s="144">
        <f>+요약!U35</f>
        <v>3441</v>
      </c>
      <c r="I42" s="144">
        <f>+요약!V35</f>
        <v>5165</v>
      </c>
      <c r="J42" s="145">
        <f>+요약!W35</f>
        <v>4427</v>
      </c>
    </row>
    <row r="43" spans="1:10" s="55" customFormat="1" ht="21" customHeight="1" x14ac:dyDescent="0.25">
      <c r="A43" s="158" t="s">
        <v>82</v>
      </c>
      <c r="B43" s="143">
        <f>+B42/B41</f>
        <v>670.375</v>
      </c>
      <c r="C43" s="144">
        <f t="shared" ref="C43:J43" si="9">+C42/C41</f>
        <v>93.774193548387103</v>
      </c>
      <c r="D43" s="144">
        <f t="shared" si="9"/>
        <v>91.6875</v>
      </c>
      <c r="E43" s="144">
        <f t="shared" si="9"/>
        <v>201</v>
      </c>
      <c r="F43" s="144">
        <f t="shared" si="9"/>
        <v>201.29032258064515</v>
      </c>
      <c r="G43" s="144">
        <f t="shared" si="9"/>
        <v>456.06451612903226</v>
      </c>
      <c r="H43" s="144">
        <f t="shared" si="9"/>
        <v>104.27272727272727</v>
      </c>
      <c r="I43" s="144">
        <f t="shared" si="9"/>
        <v>156.5151515151515</v>
      </c>
      <c r="J43" s="145">
        <f t="shared" si="9"/>
        <v>142.80645161290323</v>
      </c>
    </row>
    <row r="44" spans="1:10" s="55" customFormat="1" ht="21" customHeight="1" x14ac:dyDescent="0.25">
      <c r="A44" s="158" t="s">
        <v>83</v>
      </c>
      <c r="B44" s="151">
        <f t="shared" ref="B44:I44" si="10">+$J$43-B43</f>
        <v>-527.56854838709683</v>
      </c>
      <c r="C44" s="152">
        <f t="shared" si="10"/>
        <v>49.032258064516128</v>
      </c>
      <c r="D44" s="152">
        <f t="shared" si="10"/>
        <v>51.118951612903231</v>
      </c>
      <c r="E44" s="152">
        <f t="shared" si="10"/>
        <v>-58.193548387096769</v>
      </c>
      <c r="F44" s="152">
        <f t="shared" si="10"/>
        <v>-58.483870967741922</v>
      </c>
      <c r="G44" s="152">
        <f t="shared" si="10"/>
        <v>-313.25806451612902</v>
      </c>
      <c r="H44" s="152">
        <f t="shared" si="10"/>
        <v>38.533724340175965</v>
      </c>
      <c r="I44" s="152">
        <f t="shared" si="10"/>
        <v>-13.70869990224827</v>
      </c>
      <c r="J44" s="146"/>
    </row>
    <row r="45" spans="1:10" s="55" customFormat="1" ht="21" customHeight="1" x14ac:dyDescent="0.25">
      <c r="A45" s="158" t="s">
        <v>77</v>
      </c>
      <c r="B45" s="148">
        <f>+요약!O34</f>
        <v>13</v>
      </c>
      <c r="C45" s="149">
        <f>+요약!P34</f>
        <v>14</v>
      </c>
      <c r="D45" s="149">
        <f>+요약!Q34</f>
        <v>13</v>
      </c>
      <c r="E45" s="149">
        <f>+요약!R34</f>
        <v>12</v>
      </c>
      <c r="F45" s="149">
        <f>+요약!S34</f>
        <v>14</v>
      </c>
      <c r="G45" s="149">
        <f>+요약!T34</f>
        <v>14</v>
      </c>
      <c r="H45" s="149">
        <f>+요약!U34</f>
        <v>12</v>
      </c>
      <c r="I45" s="149">
        <f>+요약!V34</f>
        <v>12</v>
      </c>
      <c r="J45" s="150">
        <f>+요약!W34</f>
        <v>14</v>
      </c>
    </row>
    <row r="46" spans="1:10" s="55" customFormat="1" ht="21" customHeight="1" x14ac:dyDescent="0.25">
      <c r="A46" s="158" t="s">
        <v>81</v>
      </c>
      <c r="B46" s="143">
        <f>+요약!O36</f>
        <v>19249</v>
      </c>
      <c r="C46" s="144">
        <f>+요약!P36</f>
        <v>3414</v>
      </c>
      <c r="D46" s="144">
        <f>+요약!Q36</f>
        <v>4190</v>
      </c>
      <c r="E46" s="144">
        <f>+요약!R36</f>
        <v>6743</v>
      </c>
      <c r="F46" s="144">
        <f>+요약!S36</f>
        <v>5612</v>
      </c>
      <c r="G46" s="144">
        <f>+요약!T36</f>
        <v>11489</v>
      </c>
      <c r="H46" s="144">
        <f>+요약!U36</f>
        <v>2316</v>
      </c>
      <c r="I46" s="144">
        <f>+요약!V36</f>
        <v>4851</v>
      </c>
      <c r="J46" s="145">
        <f>+요약!W36</f>
        <v>4949</v>
      </c>
    </row>
    <row r="47" spans="1:10" ht="21" customHeight="1" x14ac:dyDescent="0.25">
      <c r="A47" s="158" t="s">
        <v>82</v>
      </c>
      <c r="B47" s="143">
        <f>+B46/B45</f>
        <v>1480.6923076923076</v>
      </c>
      <c r="C47" s="144">
        <f t="shared" ref="C47:J47" si="11">+C46/C45</f>
        <v>243.85714285714286</v>
      </c>
      <c r="D47" s="144">
        <f t="shared" si="11"/>
        <v>322.30769230769232</v>
      </c>
      <c r="E47" s="144">
        <f t="shared" si="11"/>
        <v>561.91666666666663</v>
      </c>
      <c r="F47" s="144">
        <f t="shared" si="11"/>
        <v>400.85714285714283</v>
      </c>
      <c r="G47" s="144">
        <f t="shared" si="11"/>
        <v>820.64285714285711</v>
      </c>
      <c r="H47" s="144">
        <f t="shared" si="11"/>
        <v>193</v>
      </c>
      <c r="I47" s="144">
        <f t="shared" si="11"/>
        <v>404.25</v>
      </c>
      <c r="J47" s="145">
        <f t="shared" si="11"/>
        <v>353.5</v>
      </c>
    </row>
    <row r="48" spans="1:10" s="55" customFormat="1" ht="21" customHeight="1" x14ac:dyDescent="0.25">
      <c r="A48" s="158" t="s">
        <v>83</v>
      </c>
      <c r="B48" s="155">
        <f t="shared" ref="B48:I48" si="12">+$J$47-B47</f>
        <v>-1127.1923076923076</v>
      </c>
      <c r="C48" s="156">
        <f t="shared" si="12"/>
        <v>109.64285714285714</v>
      </c>
      <c r="D48" s="156">
        <f t="shared" si="12"/>
        <v>31.192307692307679</v>
      </c>
      <c r="E48" s="156">
        <f t="shared" si="12"/>
        <v>-208.41666666666663</v>
      </c>
      <c r="F48" s="156">
        <f t="shared" si="12"/>
        <v>-47.357142857142833</v>
      </c>
      <c r="G48" s="156">
        <f t="shared" si="12"/>
        <v>-467.14285714285711</v>
      </c>
      <c r="H48" s="156">
        <f t="shared" si="12"/>
        <v>160.5</v>
      </c>
      <c r="I48" s="156">
        <f t="shared" si="12"/>
        <v>-50.75</v>
      </c>
      <c r="J48" s="157"/>
    </row>
    <row r="49" spans="1:10" s="55" customFormat="1" ht="15" customHeight="1" x14ac:dyDescent="0.25">
      <c r="A49" s="129"/>
      <c r="B49" s="153"/>
      <c r="C49" s="153"/>
      <c r="D49" s="153"/>
      <c r="E49" s="153"/>
      <c r="F49" s="153"/>
      <c r="G49" s="153"/>
      <c r="H49" s="153"/>
      <c r="I49" s="153"/>
      <c r="J49" s="154"/>
    </row>
    <row r="50" spans="1:10" ht="24" customHeight="1" x14ac:dyDescent="0.25">
      <c r="A50" s="147" t="s">
        <v>45</v>
      </c>
      <c r="C50" s="74"/>
      <c r="D50" s="74" t="s">
        <v>46</v>
      </c>
      <c r="E50" s="74" t="s">
        <v>46</v>
      </c>
      <c r="F50" s="74"/>
      <c r="G50" s="74"/>
      <c r="H50" s="74"/>
      <c r="I50" s="74"/>
      <c r="J50" s="74"/>
    </row>
    <row r="51" spans="1:10" ht="22.5" customHeight="1" x14ac:dyDescent="0.25">
      <c r="B51" s="57" t="s">
        <v>19</v>
      </c>
      <c r="C51" s="45" t="str">
        <f>+요약!D6</f>
        <v>바스키아</v>
      </c>
      <c r="D51" s="45" t="str">
        <f>+요약!E6</f>
        <v>김정기</v>
      </c>
      <c r="E51" s="45" t="str">
        <f>+요약!F6</f>
        <v>드리머</v>
      </c>
      <c r="F51" s="45" t="str">
        <f>+요약!G6</f>
        <v>알렉스</v>
      </c>
      <c r="G51" s="45" t="str">
        <f>+요약!H6</f>
        <v>페어리</v>
      </c>
      <c r="H51" s="45" t="str">
        <f>+요약!I6</f>
        <v>마르지엘라</v>
      </c>
      <c r="I51" s="45" t="str">
        <f>+요약!J6</f>
        <v>제이알</v>
      </c>
      <c r="J51" s="75" t="str">
        <f>+요약!K6</f>
        <v>오스틴 리</v>
      </c>
    </row>
    <row r="52" spans="1:10" ht="22.5" customHeight="1" x14ac:dyDescent="0.25">
      <c r="B52" s="58" t="s">
        <v>6</v>
      </c>
      <c r="C52" s="82">
        <f>+요약!D7</f>
        <v>44112</v>
      </c>
      <c r="D52" s="82">
        <f>+요약!E7</f>
        <v>44302</v>
      </c>
      <c r="E52" s="82">
        <f>+요약!F7</f>
        <v>44469</v>
      </c>
      <c r="F52" s="82">
        <f>+요약!G7</f>
        <v>44620</v>
      </c>
      <c r="G52" s="82">
        <f>+요약!H7</f>
        <v>44771</v>
      </c>
      <c r="H52" s="82">
        <f>+요약!I7</f>
        <v>44919</v>
      </c>
      <c r="I52" s="82">
        <f>+요약!J7</f>
        <v>45049</v>
      </c>
      <c r="J52" s="83">
        <f>+요약!K7</f>
        <v>45195</v>
      </c>
    </row>
    <row r="53" spans="1:10" ht="22.5" customHeight="1" x14ac:dyDescent="0.25">
      <c r="B53" s="63" t="s">
        <v>7</v>
      </c>
      <c r="C53" s="85">
        <f>+요약!D8</f>
        <v>44247</v>
      </c>
      <c r="D53" s="85">
        <f>+요약!E8</f>
        <v>44388</v>
      </c>
      <c r="E53" s="85">
        <f>+요약!F8</f>
        <v>44570</v>
      </c>
      <c r="F53" s="85">
        <f>+요약!G8</f>
        <v>44718</v>
      </c>
      <c r="G53" s="85">
        <f>+요약!H8</f>
        <v>44871</v>
      </c>
      <c r="H53" s="85">
        <f>+요약!I8</f>
        <v>45011</v>
      </c>
      <c r="I53" s="85">
        <f>+요약!J8</f>
        <v>45144</v>
      </c>
      <c r="J53" s="86">
        <f>+요약!K8</f>
        <v>45291</v>
      </c>
    </row>
    <row r="54" spans="1:10" ht="22.5" customHeight="1" x14ac:dyDescent="0.25">
      <c r="B54" s="63" t="s">
        <v>9</v>
      </c>
      <c r="C54" s="87">
        <f>+C53-C52+1</f>
        <v>136</v>
      </c>
      <c r="D54" s="87">
        <f t="shared" ref="D54:J54" si="13">+D53-D52+1</f>
        <v>87</v>
      </c>
      <c r="E54" s="87">
        <f t="shared" si="13"/>
        <v>102</v>
      </c>
      <c r="F54" s="87">
        <f t="shared" si="13"/>
        <v>99</v>
      </c>
      <c r="G54" s="87">
        <f t="shared" si="13"/>
        <v>101</v>
      </c>
      <c r="H54" s="87">
        <f t="shared" si="13"/>
        <v>93</v>
      </c>
      <c r="I54" s="87">
        <f t="shared" si="13"/>
        <v>96</v>
      </c>
      <c r="J54" s="88">
        <f t="shared" si="13"/>
        <v>97</v>
      </c>
    </row>
    <row r="55" spans="1:10" ht="22.5" customHeight="1" x14ac:dyDescent="0.25">
      <c r="B55" s="63" t="s">
        <v>67</v>
      </c>
      <c r="C55" s="44">
        <f>+요약!D10</f>
        <v>99192</v>
      </c>
      <c r="D55" s="44">
        <f>+요약!E10</f>
        <v>15133</v>
      </c>
      <c r="E55" s="44">
        <f>+요약!F10</f>
        <v>24625</v>
      </c>
      <c r="F55" s="44">
        <f>+요약!G10</f>
        <v>29857</v>
      </c>
      <c r="G55" s="44">
        <f>+요약!H10</f>
        <v>25192</v>
      </c>
      <c r="H55" s="44">
        <f>+요약!I10</f>
        <v>42545</v>
      </c>
      <c r="I55" s="44">
        <f>+요약!J10</f>
        <v>17942</v>
      </c>
      <c r="J55" s="64">
        <f>+요약!K10</f>
        <v>28602</v>
      </c>
    </row>
    <row r="56" spans="1:10" ht="22.5" customHeight="1" x14ac:dyDescent="0.25">
      <c r="B56" s="60" t="s">
        <v>66</v>
      </c>
      <c r="C56" s="48">
        <f>+C55/C54</f>
        <v>729.35294117647061</v>
      </c>
      <c r="D56" s="48">
        <f t="shared" ref="D56:J56" si="14">+D55/D54</f>
        <v>173.94252873563218</v>
      </c>
      <c r="E56" s="48">
        <f t="shared" si="14"/>
        <v>241.42156862745097</v>
      </c>
      <c r="F56" s="48">
        <f t="shared" si="14"/>
        <v>301.5858585858586</v>
      </c>
      <c r="G56" s="48">
        <f t="shared" si="14"/>
        <v>249.42574257425741</v>
      </c>
      <c r="H56" s="48">
        <f t="shared" si="14"/>
        <v>457.47311827956992</v>
      </c>
      <c r="I56" s="48">
        <f t="shared" si="14"/>
        <v>186.89583333333334</v>
      </c>
      <c r="J56" s="84">
        <f t="shared" si="14"/>
        <v>294.86597938144331</v>
      </c>
    </row>
    <row r="57" spans="1:10" s="55" customFormat="1" ht="15.75" customHeight="1" x14ac:dyDescent="0.25">
      <c r="B57" s="96"/>
      <c r="C57" s="141"/>
      <c r="D57" s="141"/>
      <c r="E57" s="141"/>
      <c r="F57" s="141"/>
      <c r="G57" s="141"/>
      <c r="H57" s="141"/>
      <c r="I57" s="141"/>
      <c r="J57" s="141"/>
    </row>
  </sheetData>
  <mergeCells count="8">
    <mergeCell ref="J12:J13"/>
    <mergeCell ref="J14:J18"/>
    <mergeCell ref="B12:B13"/>
    <mergeCell ref="C12:C13"/>
    <mergeCell ref="D12:D13"/>
    <mergeCell ref="E12:E13"/>
    <mergeCell ref="G12:G13"/>
    <mergeCell ref="I12:I13"/>
  </mergeCells>
  <phoneticPr fontId="2" type="noConversion"/>
  <conditionalFormatting sqref="C24:I24">
    <cfRule type="aboveAverage" dxfId="8" priority="9"/>
  </conditionalFormatting>
  <conditionalFormatting sqref="C25:I25">
    <cfRule type="aboveAverage" dxfId="7" priority="8"/>
  </conditionalFormatting>
  <conditionalFormatting sqref="C26:I26">
    <cfRule type="aboveAverage" dxfId="6" priority="7"/>
  </conditionalFormatting>
  <conditionalFormatting sqref="C27:I27">
    <cfRule type="aboveAverage" dxfId="5" priority="6"/>
  </conditionalFormatting>
  <conditionalFormatting sqref="C28:I28">
    <cfRule type="aboveAverage" dxfId="4" priority="5"/>
  </conditionalFormatting>
  <conditionalFormatting sqref="C29:I29">
    <cfRule type="aboveAverage" dxfId="3" priority="4"/>
  </conditionalFormatting>
  <conditionalFormatting sqref="C30:I30">
    <cfRule type="aboveAverage" dxfId="2" priority="3"/>
  </conditionalFormatting>
  <conditionalFormatting sqref="C31:I31">
    <cfRule type="aboveAverage" dxfId="1" priority="2"/>
  </conditionalFormatting>
  <conditionalFormatting sqref="C32:I32">
    <cfRule type="aboveAverage" dxfId="0" priority="1"/>
  </conditionalFormatting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77" orientation="portrait" r:id="rId1"/>
  <colBreaks count="1" manualBreakCount="1">
    <brk id="9" max="1048575" man="1"/>
  </colBreak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8" tint="-0.499984740745262"/>
          <x14:colorNegative rgb="FFD00000"/>
          <x14:colorAxis rgb="FF000000"/>
          <x14:colorMarkers rgb="FFD00000"/>
          <x14:colorFirst rgb="FFD00000"/>
          <x14:colorLast rgb="FFD00000"/>
          <x14:colorHigh theme="8" tint="-0.249977111117893"/>
          <x14:colorLow rgb="FFC00000"/>
          <x14:sparklines>
            <x14:sparkline>
              <xm:f>'일자별요약 (얼리포함)'!C24:I24</xm:f>
              <xm:sqref>J24</xm:sqref>
            </x14:sparkline>
            <x14:sparkline>
              <xm:f>'일자별요약 (얼리포함)'!C25:I25</xm:f>
              <xm:sqref>J25</xm:sqref>
            </x14:sparkline>
            <x14:sparkline>
              <xm:f>'일자별요약 (얼리포함)'!C26:I26</xm:f>
              <xm:sqref>J26</xm:sqref>
            </x14:sparkline>
            <x14:sparkline>
              <xm:f>'일자별요약 (얼리포함)'!C27:I27</xm:f>
              <xm:sqref>J27</xm:sqref>
            </x14:sparkline>
            <x14:sparkline>
              <xm:f>'일자별요약 (얼리포함)'!C28:I28</xm:f>
              <xm:sqref>J28</xm:sqref>
            </x14:sparkline>
            <x14:sparkline>
              <xm:f>'일자별요약 (얼리포함)'!C29:I29</xm:f>
              <xm:sqref>J29</xm:sqref>
            </x14:sparkline>
            <x14:sparkline>
              <xm:f>'일자별요약 (얼리포함)'!C30:I30</xm:f>
              <xm:sqref>J30</xm:sqref>
            </x14:sparkline>
            <x14:sparkline>
              <xm:f>'일자별요약 (얼리포함)'!C31:I31</xm:f>
              <xm:sqref>J31</xm:sqref>
            </x14:sparkline>
            <x14:sparkline>
              <xm:f>'일자별요약 (얼리포함)'!C32:I32</xm:f>
              <xm:sqref>J32</xm:sqref>
            </x14:sparkline>
            <x14:sparkline>
              <xm:f>'일자별요약 (얼리포함)'!C33:I33</xm:f>
              <xm:sqref>J33</xm:sqref>
            </x14:sparkline>
            <x14:sparkline>
              <xm:f>'일자별요약 (얼리포함)'!C34:I34</xm:f>
              <xm:sqref>J34</xm:sqref>
            </x14:sparkline>
            <x14:sparkline>
              <xm:f>'일자별요약 (얼리포함)'!C35:I35</xm:f>
              <xm:sqref>J35</xm:sqref>
            </x14:sparkline>
            <x14:sparkline>
              <xm:f>'일자별요약 (얼리포함)'!C36:I36</xm:f>
              <xm:sqref>J36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A1:K9"/>
  <sheetViews>
    <sheetView showGridLines="0" topLeftCell="A4" workbookViewId="0">
      <selection activeCell="H11" sqref="H11"/>
    </sheetView>
  </sheetViews>
  <sheetFormatPr defaultRowHeight="34.5" customHeight="1" x14ac:dyDescent="0.25"/>
  <cols>
    <col min="1" max="2" width="9.140625" style="1"/>
    <col min="3" max="10" width="10.28515625" style="1" customWidth="1"/>
    <col min="11" max="16384" width="9.140625" style="1"/>
  </cols>
  <sheetData>
    <row r="1" spans="1:11" ht="34.5" customHeight="1" x14ac:dyDescent="0.25">
      <c r="B1" s="2" t="s">
        <v>310</v>
      </c>
      <c r="C1" s="861">
        <f>+일자별요약v2!$C$8</f>
        <v>45346</v>
      </c>
    </row>
    <row r="2" spans="1:11" ht="34.5" customHeight="1" x14ac:dyDescent="0.25">
      <c r="C2" s="1" t="s">
        <v>309</v>
      </c>
    </row>
    <row r="3" spans="1:11" ht="34.5" customHeight="1" x14ac:dyDescent="0.25">
      <c r="B3" s="2" t="s">
        <v>24</v>
      </c>
      <c r="C3" s="861">
        <f>+daily!$O$2</f>
        <v>45390</v>
      </c>
      <c r="D3" s="861">
        <f>+C3-1</f>
        <v>45389</v>
      </c>
      <c r="E3" s="861">
        <f t="shared" ref="E3:I3" si="0">+D3-1</f>
        <v>45388</v>
      </c>
      <c r="F3" s="861">
        <f t="shared" si="0"/>
        <v>45387</v>
      </c>
      <c r="G3" s="861">
        <f t="shared" si="0"/>
        <v>45386</v>
      </c>
      <c r="H3" s="861">
        <f t="shared" si="0"/>
        <v>45385</v>
      </c>
      <c r="I3" s="861">
        <f t="shared" si="0"/>
        <v>45384</v>
      </c>
      <c r="J3" s="861">
        <f t="shared" ref="J3" si="1">+I3-1</f>
        <v>45383</v>
      </c>
      <c r="K3" s="860"/>
    </row>
    <row r="4" spans="1:11" ht="34.5" customHeight="1" x14ac:dyDescent="0.25">
      <c r="B4" s="2"/>
      <c r="C4" s="861" t="str">
        <f>+TEXT(C3,"(aaa)")</f>
        <v>(월)</v>
      </c>
      <c r="D4" s="861" t="str">
        <f t="shared" ref="D4:J4" si="2">+TEXT(D3,"(aaa)")</f>
        <v>(일)</v>
      </c>
      <c r="E4" s="861" t="str">
        <f t="shared" si="2"/>
        <v>(토)</v>
      </c>
      <c r="F4" s="861" t="str">
        <f t="shared" si="2"/>
        <v>(금)</v>
      </c>
      <c r="G4" s="861" t="str">
        <f t="shared" si="2"/>
        <v>(목)</v>
      </c>
      <c r="H4" s="861" t="str">
        <f t="shared" si="2"/>
        <v>(수)</v>
      </c>
      <c r="I4" s="861" t="str">
        <f t="shared" si="2"/>
        <v>(화)</v>
      </c>
      <c r="J4" s="861" t="str">
        <f t="shared" si="2"/>
        <v>(월)</v>
      </c>
      <c r="K4" s="860"/>
    </row>
    <row r="5" spans="1:11" ht="34.5" customHeight="1" x14ac:dyDescent="0.25">
      <c r="A5" s="1" t="s">
        <v>311</v>
      </c>
      <c r="B5" s="2" t="s">
        <v>0</v>
      </c>
      <c r="C5" s="862" t="str">
        <f>+TEXT(C3,"mm.dd")&amp;CHAR(10)&amp;C4</f>
        <v>04.08
(월)</v>
      </c>
      <c r="D5" s="862" t="str">
        <f t="shared" ref="D5:J5" si="3">+TEXT(D3,"mm.dd")&amp;CHAR(10)&amp;D4</f>
        <v>04.07
(일)</v>
      </c>
      <c r="E5" s="862" t="str">
        <f t="shared" si="3"/>
        <v>04.06
(토)</v>
      </c>
      <c r="F5" s="862" t="str">
        <f t="shared" si="3"/>
        <v>04.05
(금)</v>
      </c>
      <c r="G5" s="862" t="str">
        <f t="shared" si="3"/>
        <v>04.04
(목)</v>
      </c>
      <c r="H5" s="862" t="str">
        <f t="shared" si="3"/>
        <v>04.03
(수)</v>
      </c>
      <c r="I5" s="862" t="str">
        <f t="shared" si="3"/>
        <v>04.02
(화)</v>
      </c>
      <c r="J5" s="862" t="str">
        <f t="shared" si="3"/>
        <v>04.01
(월)</v>
      </c>
      <c r="K5" s="860"/>
    </row>
    <row r="6" spans="1:11" ht="34.5" customHeight="1" x14ac:dyDescent="0.25">
      <c r="B6" s="2" t="s">
        <v>116</v>
      </c>
      <c r="C6" s="7">
        <f>+ROUND(C8/C9,0)</f>
        <v>208</v>
      </c>
      <c r="D6" s="7">
        <f t="shared" ref="D6:J6" si="4">+ROUND(D8/D9,0)</f>
        <v>210</v>
      </c>
      <c r="E6" s="7">
        <f t="shared" si="4"/>
        <v>208</v>
      </c>
      <c r="F6" s="7">
        <f t="shared" si="4"/>
        <v>204</v>
      </c>
      <c r="G6" s="7">
        <f t="shared" si="4"/>
        <v>202</v>
      </c>
      <c r="H6" s="7">
        <f t="shared" si="4"/>
        <v>204</v>
      </c>
      <c r="I6" s="7">
        <f t="shared" si="4"/>
        <v>206</v>
      </c>
      <c r="J6" s="7">
        <f t="shared" si="4"/>
        <v>208</v>
      </c>
    </row>
    <row r="7" spans="1:11" ht="34.5" customHeight="1" x14ac:dyDescent="0.25">
      <c r="B7" s="2" t="s">
        <v>135</v>
      </c>
      <c r="C7" s="7">
        <f>+$C$6</f>
        <v>208</v>
      </c>
      <c r="D7" s="7">
        <f>+C7</f>
        <v>208</v>
      </c>
      <c r="E7" s="7">
        <f t="shared" ref="E7:J7" si="5">+D7</f>
        <v>208</v>
      </c>
      <c r="F7" s="7">
        <f t="shared" si="5"/>
        <v>208</v>
      </c>
      <c r="G7" s="7">
        <f t="shared" si="5"/>
        <v>208</v>
      </c>
      <c r="H7" s="7">
        <f t="shared" si="5"/>
        <v>208</v>
      </c>
      <c r="I7" s="7">
        <f t="shared" si="5"/>
        <v>208</v>
      </c>
      <c r="J7" s="7">
        <f t="shared" si="5"/>
        <v>208</v>
      </c>
    </row>
    <row r="8" spans="1:11" ht="34.5" customHeight="1" x14ac:dyDescent="0.25">
      <c r="A8" s="2" t="s">
        <v>203</v>
      </c>
      <c r="C8" s="7">
        <f>+SUMIFS(daily!$E$3:$E$1548,daily!$F$3:$F$1548,$B$3,daily!$D$3:$D$1548,"&lt;="&amp;C$3)</f>
        <v>9376</v>
      </c>
      <c r="D8" s="7">
        <f>+SUMIFS(daily!$E$3:$E$1548,daily!$F$3:$F$1548,$B$3,daily!$D$3:$D$1548,"&lt;="&amp;D$3)</f>
        <v>9233</v>
      </c>
      <c r="E8" s="7">
        <f>+SUMIFS(daily!$E$3:$E$1548,daily!$F$3:$F$1548,$B$3,daily!$D$3:$D$1548,"&lt;="&amp;E$3)</f>
        <v>8931</v>
      </c>
      <c r="F8" s="7">
        <f>+SUMIFS(daily!$E$3:$E$1548,daily!$F$3:$F$1548,$B$3,daily!$D$3:$D$1548,"&lt;="&amp;F$3)</f>
        <v>8588</v>
      </c>
      <c r="G8" s="7">
        <f>+SUMIFS(daily!$E$3:$E$1548,daily!$F$3:$F$1548,$B$3,daily!$D$3:$D$1548,"&lt;="&amp;G$3)</f>
        <v>8280</v>
      </c>
      <c r="H8" s="7">
        <f>+SUMIFS(daily!$E$3:$E$1548,daily!$F$3:$F$1548,$B$3,daily!$D$3:$D$1548,"&lt;="&amp;H$3)</f>
        <v>8164</v>
      </c>
      <c r="I8" s="7">
        <f>+SUMIFS(daily!$E$3:$E$1548,daily!$F$3:$F$1548,$B$3,daily!$D$3:$D$1548,"&lt;="&amp;I$3)</f>
        <v>8017</v>
      </c>
      <c r="J8" s="7">
        <f>+SUMIFS(daily!$E$3:$E$1548,daily!$F$3:$F$1548,$B$3,daily!$D$3:$D$1548,"&lt;="&amp;J$3)</f>
        <v>7914</v>
      </c>
    </row>
    <row r="9" spans="1:11" ht="34.5" customHeight="1" x14ac:dyDescent="0.25">
      <c r="A9" s="2" t="s">
        <v>299</v>
      </c>
      <c r="C9" s="7">
        <f>+C3-$C$1+1</f>
        <v>45</v>
      </c>
      <c r="D9" s="7">
        <f t="shared" ref="D9:I9" si="6">+D3-$C$1+1</f>
        <v>44</v>
      </c>
      <c r="E9" s="7">
        <f t="shared" si="6"/>
        <v>43</v>
      </c>
      <c r="F9" s="7">
        <f t="shared" si="6"/>
        <v>42</v>
      </c>
      <c r="G9" s="7">
        <f t="shared" si="6"/>
        <v>41</v>
      </c>
      <c r="H9" s="7">
        <f t="shared" si="6"/>
        <v>40</v>
      </c>
      <c r="I9" s="7">
        <f t="shared" si="6"/>
        <v>39</v>
      </c>
      <c r="J9" s="7">
        <f t="shared" ref="J9" si="7">+J3-$C$1+1</f>
        <v>38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C00000"/>
  </sheetPr>
  <dimension ref="A1"/>
  <sheetViews>
    <sheetView showGridLines="0" workbookViewId="0"/>
  </sheetViews>
  <sheetFormatPr defaultRowHeight="12.75" x14ac:dyDescent="0.2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O25"/>
  <sheetViews>
    <sheetView showGridLines="0" zoomScale="90" zoomScaleNormal="90" workbookViewId="0">
      <selection activeCell="G11" sqref="G11"/>
    </sheetView>
  </sheetViews>
  <sheetFormatPr defaultRowHeight="29.25" customHeight="1" x14ac:dyDescent="0.25"/>
  <cols>
    <col min="1" max="1" width="9.140625" style="1"/>
    <col min="2" max="15" width="20.140625" style="1" customWidth="1"/>
    <col min="16" max="16384" width="9.140625" style="1"/>
  </cols>
  <sheetData>
    <row r="1" spans="2:15" ht="29.25" customHeight="1" x14ac:dyDescent="0.25">
      <c r="B1" s="2" t="s">
        <v>302</v>
      </c>
      <c r="C1" s="3">
        <v>45386</v>
      </c>
      <c r="L1" s="854" t="s">
        <v>306</v>
      </c>
    </row>
    <row r="2" spans="2:15" ht="29.25" customHeight="1" x14ac:dyDescent="0.25">
      <c r="B2" s="2" t="s">
        <v>23</v>
      </c>
      <c r="C2" s="3">
        <f>+C1-1</f>
        <v>45385</v>
      </c>
    </row>
    <row r="4" spans="2:15" ht="29.25" customHeight="1" x14ac:dyDescent="0.25">
      <c r="B4" s="846" t="s">
        <v>297</v>
      </c>
      <c r="C4" s="1025" t="s">
        <v>6</v>
      </c>
      <c r="D4" s="1025" t="s">
        <v>7</v>
      </c>
      <c r="E4" s="1025" t="s">
        <v>22</v>
      </c>
      <c r="F4" s="1025" t="s">
        <v>18</v>
      </c>
      <c r="G4" s="1025" t="s">
        <v>307</v>
      </c>
      <c r="H4" s="1023" t="s">
        <v>29</v>
      </c>
      <c r="I4" s="1027"/>
      <c r="J4" s="849" t="s">
        <v>120</v>
      </c>
      <c r="K4" s="850"/>
      <c r="L4" s="849" t="s">
        <v>303</v>
      </c>
      <c r="M4" s="850"/>
      <c r="N4" s="1023" t="s">
        <v>304</v>
      </c>
      <c r="O4" s="850"/>
    </row>
    <row r="5" spans="2:15" ht="29.25" customHeight="1" x14ac:dyDescent="0.25">
      <c r="B5" s="847">
        <f>+F6</f>
        <v>40</v>
      </c>
      <c r="C5" s="1026"/>
      <c r="D5" s="1026"/>
      <c r="E5" s="1026"/>
      <c r="F5" s="1026"/>
      <c r="G5" s="1026"/>
      <c r="H5" s="1024"/>
      <c r="I5" s="1028"/>
      <c r="J5" s="848" t="str">
        <f>+"~"&amp;MONTH($C$2)&amp;"/"&amp;DAY($C$2)</f>
        <v>~4/3</v>
      </c>
      <c r="K5" s="9" t="s">
        <v>116</v>
      </c>
      <c r="L5" s="848"/>
      <c r="M5" s="9" t="s">
        <v>116</v>
      </c>
      <c r="N5" s="1024"/>
      <c r="O5" s="9" t="s">
        <v>116</v>
      </c>
    </row>
    <row r="6" spans="2:15" ht="29.25" customHeight="1" x14ac:dyDescent="0.25">
      <c r="C6" s="853">
        <v>45346</v>
      </c>
      <c r="D6" s="853">
        <v>45438</v>
      </c>
      <c r="E6" s="851">
        <f>+D6-C6+1</f>
        <v>93</v>
      </c>
      <c r="F6" s="851">
        <f>+$C$2-C6+1</f>
        <v>40</v>
      </c>
      <c r="G6" s="851">
        <f>+E6-F6</f>
        <v>53</v>
      </c>
      <c r="H6" s="9" t="s">
        <v>24</v>
      </c>
      <c r="I6" s="10" t="str">
        <f>+TEXT(C6,"yy.mm.dd")&amp;"~"&amp;TEXT(D6,"mm.dd")</f>
        <v>24.02.24~05.26</v>
      </c>
      <c r="J6" s="10">
        <f>+SUMIFS(daily!$E$2:$E$1548,daily!$F$2:$F$1548,$H6,daily!$I$2:$I$1548,"&lt;="&amp;$F6)</f>
        <v>8164</v>
      </c>
      <c r="K6" s="10">
        <f>+J6/F6</f>
        <v>204.1</v>
      </c>
      <c r="L6" s="10">
        <f>+N6-J6</f>
        <v>31836</v>
      </c>
      <c r="M6" s="10">
        <f>+L6/G6</f>
        <v>600.67924528301887</v>
      </c>
      <c r="N6" s="10">
        <v>40000</v>
      </c>
      <c r="O6" s="10">
        <f>+N6/E6</f>
        <v>430.10752688172045</v>
      </c>
    </row>
    <row r="7" spans="2:15" ht="29.25" customHeight="1" x14ac:dyDescent="0.25">
      <c r="B7" s="846"/>
      <c r="C7" s="853">
        <v>45195</v>
      </c>
      <c r="D7" s="853">
        <v>45291</v>
      </c>
      <c r="E7" s="851">
        <f>+D7-C7+1</f>
        <v>97</v>
      </c>
      <c r="F7" s="851">
        <f>+F6</f>
        <v>40</v>
      </c>
      <c r="G7" s="851">
        <f>+E7-F7</f>
        <v>57</v>
      </c>
      <c r="H7" s="9" t="s">
        <v>32</v>
      </c>
      <c r="I7" s="10" t="str">
        <f>+TEXT(C7,"yy.mm.dd")&amp;"~"&amp;TEXT(D7,"mm.dd")</f>
        <v>23.09.26~12.31</v>
      </c>
      <c r="J7" s="10">
        <f>+SUMIFS(daily!$E$2:$E$1548,daily!$F$2:$F$1548,$H7,daily!$I$2:$I$1548,"&lt;="&amp;$F7)</f>
        <v>9167</v>
      </c>
      <c r="K7" s="10">
        <f>+J7/F7</f>
        <v>229.17500000000001</v>
      </c>
      <c r="L7" s="10">
        <f>+N7-J7</f>
        <v>19441</v>
      </c>
      <c r="M7" s="10">
        <f>+L7/G7</f>
        <v>341.07017543859649</v>
      </c>
      <c r="N7" s="10">
        <v>28608</v>
      </c>
      <c r="O7" s="10">
        <f>+N7/E7</f>
        <v>294.92783505154637</v>
      </c>
    </row>
    <row r="8" spans="2:15" ht="29.25" customHeight="1" x14ac:dyDescent="0.25">
      <c r="B8" s="846"/>
      <c r="C8" s="852" t="s">
        <v>298</v>
      </c>
      <c r="D8" s="852" t="s">
        <v>299</v>
      </c>
      <c r="E8" s="852" t="s">
        <v>300</v>
      </c>
      <c r="F8" s="852" t="s">
        <v>301</v>
      </c>
      <c r="G8" s="852"/>
      <c r="H8" s="401">
        <v>2023</v>
      </c>
      <c r="I8" s="401"/>
      <c r="J8" s="9" t="s">
        <v>185</v>
      </c>
      <c r="K8" s="10">
        <f>+SUMIFS(daily!$E$2:$E$1548,daily!$A$2:$A$1548,브랜드팀!$H8)</f>
        <v>82517</v>
      </c>
      <c r="L8" s="9" t="s">
        <v>305</v>
      </c>
      <c r="M8" s="10">
        <f>+F9</f>
        <v>3</v>
      </c>
      <c r="N8" s="10">
        <f>+K8/M8</f>
        <v>27505.666666666668</v>
      </c>
      <c r="O8" s="10">
        <f>+K8/E11</f>
        <v>302.26007326007328</v>
      </c>
    </row>
    <row r="9" spans="2:15" s="858" customFormat="1" ht="29.25" customHeight="1" x14ac:dyDescent="0.25">
      <c r="B9" s="846"/>
      <c r="C9" s="855">
        <v>0</v>
      </c>
      <c r="D9" s="856">
        <v>0</v>
      </c>
      <c r="E9" s="855" t="e">
        <f>+C9/D9</f>
        <v>#DIV/0!</v>
      </c>
      <c r="F9" s="857">
        <v>3</v>
      </c>
      <c r="G9" s="857"/>
      <c r="J9" s="859"/>
      <c r="K9" s="859"/>
      <c r="L9" s="859"/>
      <c r="M9" s="859"/>
      <c r="N9" s="859"/>
      <c r="O9" s="859"/>
    </row>
    <row r="10" spans="2:15" ht="29.25" customHeight="1" x14ac:dyDescent="0.25">
      <c r="E10" s="2">
        <v>2023</v>
      </c>
    </row>
    <row r="11" spans="2:15" ht="29.25" customHeight="1" x14ac:dyDescent="0.25">
      <c r="D11" s="2" t="s">
        <v>308</v>
      </c>
      <c r="E11" s="2">
        <f>+COUNTIFS(daily!$A$3:$A$1548,E10,daily!$F$3:$F$1548,"&lt;&gt;0",daily!$E$3:$E$1548,"&gt;0")</f>
        <v>273</v>
      </c>
    </row>
    <row r="13" spans="2:15" ht="29.25" customHeight="1" x14ac:dyDescent="0.25">
      <c r="I13" s="2"/>
      <c r="J13" s="134"/>
    </row>
    <row r="14" spans="2:15" ht="29.25" customHeight="1" x14ac:dyDescent="0.25">
      <c r="J14" s="134" t="str">
        <f>IFERROR(INDEX(daily!$F$3:$F$1548, MATCH(0, IF($J$12=daily!$A$3:$A$1548, COUNTIF(daily!$F$3:$F4, daily!$F$3:$F$1548), ""), 0)),"")</f>
        <v/>
      </c>
    </row>
    <row r="15" spans="2:15" ht="29.25" customHeight="1" x14ac:dyDescent="0.25">
      <c r="J15" s="134" t="str">
        <f>IFERROR(INDEX(daily!$F$3:$F$1548, MATCH(0, IF($J$12=daily!$A$3:$A$1548, COUNTIF(daily!$F$3:$F5, daily!$F$3:$F$1548), ""), 0)),"")</f>
        <v/>
      </c>
    </row>
    <row r="16" spans="2:15" ht="29.25" customHeight="1" x14ac:dyDescent="0.25">
      <c r="J16" s="134" t="str">
        <f>IFERROR(INDEX(daily!$F$3:$F$1548, MATCH(0, IF($J$12=daily!$A$3:$A$1548, COUNTIF(daily!$F$3:$F6, daily!$F$3:$F$1548), ""), 0)),"")</f>
        <v/>
      </c>
    </row>
    <row r="17" spans="10:10" ht="29.25" customHeight="1" x14ac:dyDescent="0.25">
      <c r="J17" s="134" t="str">
        <f>IFERROR(INDEX(daily!$F$3:$F$1548, MATCH(0, IF($J$12=daily!$A$3:$A$1548, COUNTIF(daily!$F$3:$F7, daily!$F$3:$F$1548), ""), 0)),"")</f>
        <v/>
      </c>
    </row>
    <row r="18" spans="10:10" ht="29.25" customHeight="1" x14ac:dyDescent="0.25">
      <c r="J18" s="134" t="str">
        <f>IFERROR(INDEX(daily!$F$3:$F$1548, MATCH(0, IF($J$12=daily!$A$3:$A$1548, COUNTIF(daily!$F$3:$F8, daily!$F$3:$F$1548), ""), 0)),"")</f>
        <v/>
      </c>
    </row>
    <row r="19" spans="10:10" ht="29.25" customHeight="1" x14ac:dyDescent="0.25">
      <c r="J19" s="134" t="str">
        <f>IFERROR(INDEX(daily!$F$3:$F$1548, MATCH(0, IF($J$12=daily!$A$3:$A$1548, COUNTIF(daily!$F$3:$F9, daily!$F$3:$F$1548), ""), 0)),"")</f>
        <v/>
      </c>
    </row>
    <row r="20" spans="10:10" ht="29.25" customHeight="1" x14ac:dyDescent="0.25">
      <c r="J20" s="134" t="str">
        <f>IFERROR(INDEX(daily!$F$3:$F$1548, MATCH(0, IF($J$12=daily!$A$3:$A$1548, COUNTIF(daily!$F$3:$F10, daily!$F$3:$F$1548), ""), 0)),"")</f>
        <v/>
      </c>
    </row>
    <row r="21" spans="10:10" ht="29.25" customHeight="1" x14ac:dyDescent="0.25">
      <c r="J21" s="134" t="str">
        <f>IFERROR(INDEX(daily!$F$3:$F$1548, MATCH(0, IF($J$12=daily!$A$3:$A$1548, COUNTIF(daily!$F$3:$F11, daily!$F$3:$F$1548), ""), 0)),"")</f>
        <v/>
      </c>
    </row>
    <row r="22" spans="10:10" ht="29.25" customHeight="1" x14ac:dyDescent="0.25">
      <c r="J22" s="134" t="str">
        <f>IFERROR(INDEX(daily!$F$3:$F$1548, MATCH(0, IF($J$12=daily!$A$3:$A$1548, COUNTIF(daily!$F$3:$F12, daily!$F$3:$F$1548), ""), 0)),"")</f>
        <v/>
      </c>
    </row>
    <row r="23" spans="10:10" ht="29.25" customHeight="1" x14ac:dyDescent="0.25">
      <c r="J23" s="134" t="str">
        <f>IFERROR(INDEX(daily!$F$3:$F$1548, MATCH(0, IF($J$12=daily!$A$3:$A$1548, COUNTIF(daily!$F$3:$F13, daily!$F$3:$F$1548), ""), 0)),"")</f>
        <v/>
      </c>
    </row>
    <row r="24" spans="10:10" ht="29.25" customHeight="1" x14ac:dyDescent="0.25">
      <c r="J24" s="134" t="str">
        <f>IFERROR(INDEX(daily!$F$3:$F$1548, MATCH(0, IF($J$12=daily!$A$3:$A$1548, COUNTIF(daily!$F$3:$F14, daily!$F$3:$F$1548), ""), 0)),"")</f>
        <v/>
      </c>
    </row>
    <row r="25" spans="10:10" ht="29.25" customHeight="1" x14ac:dyDescent="0.25">
      <c r="J25" s="134" t="str">
        <f>IFERROR(INDEX(daily!$F$3:$F$1548, MATCH(0, IF($J$12=daily!$A$3:$A$1548, COUNTIF(daily!$F$3:$F15, daily!$F$3:$F$1548), ""), 0)),"")</f>
        <v/>
      </c>
    </row>
  </sheetData>
  <mergeCells count="7">
    <mergeCell ref="N4:N5"/>
    <mergeCell ref="G4:G5"/>
    <mergeCell ref="C4:C5"/>
    <mergeCell ref="D4:D5"/>
    <mergeCell ref="F4:F5"/>
    <mergeCell ref="E4:E5"/>
    <mergeCell ref="H4:I5"/>
  </mergeCells>
  <phoneticPr fontId="2" type="noConversion"/>
  <hyperlinks>
    <hyperlink ref="L1" r:id="rId1"/>
  </hyperlinks>
  <pageMargins left="0.7" right="0.7" top="0.75" bottom="0.75" header="0.3" footer="0.3"/>
  <pageSetup paperSize="9" orientation="portrait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3:L8"/>
  <sheetViews>
    <sheetView showGridLines="0" workbookViewId="0">
      <selection activeCell="I6" sqref="I6"/>
    </sheetView>
  </sheetViews>
  <sheetFormatPr defaultColWidth="9.140625" defaultRowHeight="44.25" customHeight="1" x14ac:dyDescent="0.25"/>
  <cols>
    <col min="1" max="1" width="9.140625" style="36"/>
    <col min="2" max="12" width="13.28515625" style="36" customWidth="1"/>
    <col min="13" max="16384" width="9.140625" style="36"/>
  </cols>
  <sheetData>
    <row r="3" spans="2:12" ht="44.25" customHeight="1" x14ac:dyDescent="0.25">
      <c r="B3" s="207"/>
      <c r="C3" s="208"/>
      <c r="D3" s="196" t="s">
        <v>3</v>
      </c>
      <c r="E3" s="196" t="s">
        <v>5</v>
      </c>
      <c r="F3" s="196" t="s">
        <v>4</v>
      </c>
      <c r="G3" s="196" t="s">
        <v>10</v>
      </c>
      <c r="H3" s="196" t="s">
        <v>11</v>
      </c>
      <c r="I3" s="196" t="s">
        <v>12</v>
      </c>
      <c r="J3" s="196" t="s">
        <v>13</v>
      </c>
      <c r="K3" s="196" t="s">
        <v>14</v>
      </c>
      <c r="L3" s="196" t="s">
        <v>15</v>
      </c>
    </row>
    <row r="4" spans="2:12" s="195" customFormat="1" ht="44.25" customHeight="1" x14ac:dyDescent="0.25">
      <c r="B4" s="200" t="s">
        <v>99</v>
      </c>
      <c r="C4" s="201"/>
      <c r="D4" s="198">
        <f>+SUMIFS(daily!$E$3:$E$1548,daily!$F$3:$F$1548,'요약, 유무료'!D$3)</f>
        <v>99192</v>
      </c>
      <c r="E4" s="198">
        <f>+SUMIFS(daily!$E$3:$E$1548,daily!$F$3:$F$1548,'요약, 유무료'!E$3)</f>
        <v>15133</v>
      </c>
      <c r="F4" s="198">
        <f>+SUMIFS(daily!$E$3:$E$1548,daily!$F$3:$F$1548,'요약, 유무료'!F$3)</f>
        <v>24625</v>
      </c>
      <c r="G4" s="198">
        <f>+SUMIFS(daily!$E$3:$E$1548,daily!$F$3:$F$1548,'요약, 유무료'!G$3)</f>
        <v>29857</v>
      </c>
      <c r="H4" s="198">
        <f>+SUMIFS(daily!$E$3:$E$1548,daily!$F$3:$F$1548,'요약, 유무료'!H$3)</f>
        <v>25192</v>
      </c>
      <c r="I4" s="198">
        <f>+SUMIFS(daily!$E$3:$E$1548,daily!$F$3:$F$1548,'요약, 유무료'!I$3)</f>
        <v>42545</v>
      </c>
      <c r="J4" s="198">
        <f>+SUMIFS(daily!$E$3:$E$1548,daily!$F$3:$F$1548,'요약, 유무료'!J$3)</f>
        <v>17942</v>
      </c>
      <c r="K4" s="198">
        <f>+SUMIFS(daily!$E$3:$E$1548,daily!$F$3:$F$1548,'요약, 유무료'!K$3)</f>
        <v>28602</v>
      </c>
      <c r="L4" s="198">
        <f>+SUMIFS(daily!$E$3:$E$1548,daily!$F$3:$F$1548,'요약, 유무료'!L$3)</f>
        <v>9376</v>
      </c>
    </row>
    <row r="5" spans="2:12" ht="44.25" customHeight="1" x14ac:dyDescent="0.25">
      <c r="B5" s="202" t="s">
        <v>98</v>
      </c>
      <c r="C5" s="203"/>
      <c r="D5" s="199">
        <f>+SUMIFS(daily!$H$3:$H$1548,daily!$F$3:$F$1548,'요약, 유무료'!D$3)</f>
        <v>93683</v>
      </c>
      <c r="E5" s="199">
        <f>+SUMIFS(daily!$H$3:$H$1548,daily!$F$3:$F$1548,'요약, 유무료'!E$3)</f>
        <v>11557</v>
      </c>
      <c r="F5" s="199">
        <f>+SUMIFS(daily!$H$3:$H$1548,daily!$F$3:$F$1548,'요약, 유무료'!F$3)</f>
        <v>20430</v>
      </c>
      <c r="G5" s="199">
        <f>+SUMIFS(daily!$H$3:$H$1548,daily!$F$3:$F$1548,'요약, 유무료'!G$3)</f>
        <v>24991</v>
      </c>
      <c r="H5" s="199">
        <f>+SUMIFS(daily!$H$3:$H$1548,daily!$F$3:$F$1548,'요약, 유무료'!H$3)</f>
        <v>19681</v>
      </c>
      <c r="I5" s="199">
        <f>+SUMIFS(daily!$H$3:$H$1548,daily!$F$3:$F$1548,'요약, 유무료'!I$3)</f>
        <v>38117</v>
      </c>
      <c r="J5" s="199">
        <f>+SUMIFS(daily!$H$3:$H$1548,daily!$F$3:$F$1548,'요약, 유무료'!J$3)</f>
        <v>11946</v>
      </c>
      <c r="K5" s="199">
        <f>+SUMIFS(daily!$H$3:$H$1548,daily!$F$3:$F$1548,'요약, 유무료'!K$3)</f>
        <v>21586</v>
      </c>
      <c r="L5" s="199">
        <f>+SUMIFS(daily!$H$3:$H$1548,daily!$F$3:$F$1548,'요약, 유무료'!L$3)</f>
        <v>7953</v>
      </c>
    </row>
    <row r="6" spans="2:12" ht="44.25" customHeight="1" x14ac:dyDescent="0.25">
      <c r="B6" s="202" t="s">
        <v>97</v>
      </c>
      <c r="C6" s="203"/>
      <c r="D6" s="199">
        <f>+SUMIFS(daily!$G$3:$G$1548,daily!$F$3:$F$1548,'요약, 유무료'!D$3)</f>
        <v>5509</v>
      </c>
      <c r="E6" s="199">
        <f>+SUMIFS(daily!$G$3:$G$1548,daily!$F$3:$F$1548,'요약, 유무료'!E$3)</f>
        <v>3576</v>
      </c>
      <c r="F6" s="199">
        <f>+SUMIFS(daily!$G$3:$G$1548,daily!$F$3:$F$1548,'요약, 유무료'!F$3)</f>
        <v>4195</v>
      </c>
      <c r="G6" s="199">
        <f>+SUMIFS(daily!$G$3:$G$1548,daily!$F$3:$F$1548,'요약, 유무료'!G$3)</f>
        <v>4866</v>
      </c>
      <c r="H6" s="199">
        <f>+SUMIFS(daily!$G$3:$G$1548,daily!$F$3:$F$1548,'요약, 유무료'!H$3)</f>
        <v>5511</v>
      </c>
      <c r="I6" s="199">
        <f>+SUMIFS(daily!$G$3:$G$1548,daily!$F$3:$F$1548,'요약, 유무료'!I$3)</f>
        <v>4428</v>
      </c>
      <c r="J6" s="199">
        <f>+SUMIFS(daily!$G$3:$G$1548,daily!$F$3:$F$1548,'요약, 유무료'!J$3)</f>
        <v>5996</v>
      </c>
      <c r="K6" s="199">
        <f>+SUMIFS(daily!$G$3:$G$1548,daily!$F$3:$F$1548,'요약, 유무료'!K$3)</f>
        <v>7016</v>
      </c>
      <c r="L6" s="199">
        <f>+SUMIFS(daily!$G$3:$G$1548,daily!$F$3:$F$1548,'요약, 유무료'!L$3)</f>
        <v>1423</v>
      </c>
    </row>
    <row r="7" spans="2:12" ht="44.25" customHeight="1" x14ac:dyDescent="0.25">
      <c r="B7" s="205"/>
      <c r="C7" s="204" t="s">
        <v>240</v>
      </c>
      <c r="D7" s="197">
        <f>+D6/D4</f>
        <v>5.5538753125252034E-2</v>
      </c>
      <c r="E7" s="197">
        <f t="shared" ref="E7:L7" si="0">+E6/E4</f>
        <v>0.23630476442212384</v>
      </c>
      <c r="F7" s="197">
        <f t="shared" si="0"/>
        <v>0.17035532994923858</v>
      </c>
      <c r="G7" s="197">
        <f t="shared" si="0"/>
        <v>0.16297685634859496</v>
      </c>
      <c r="H7" s="197">
        <f t="shared" si="0"/>
        <v>0.21875992378532869</v>
      </c>
      <c r="I7" s="197">
        <f t="shared" si="0"/>
        <v>0.10407803502174169</v>
      </c>
      <c r="J7" s="197">
        <f t="shared" si="0"/>
        <v>0.33418793891427934</v>
      </c>
      <c r="K7" s="197">
        <f t="shared" si="0"/>
        <v>0.24529753164114398</v>
      </c>
      <c r="L7" s="197">
        <f t="shared" si="0"/>
        <v>0.15177047781569966</v>
      </c>
    </row>
    <row r="8" spans="2:12" ht="44.25" customHeight="1" x14ac:dyDescent="0.25">
      <c r="B8" s="206" t="s">
        <v>100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B1557"/>
  <sheetViews>
    <sheetView showGridLines="0" topLeftCell="B6" workbookViewId="0">
      <selection activeCell="G21" sqref="G21"/>
    </sheetView>
  </sheetViews>
  <sheetFormatPr defaultColWidth="9.140625" defaultRowHeight="18.75" customHeight="1" x14ac:dyDescent="0.25"/>
  <cols>
    <col min="1" max="1" width="0" style="1" hidden="1" customWidth="1"/>
    <col min="2" max="3" width="9.140625" style="1"/>
    <col min="4" max="12" width="12.7109375" style="1" customWidth="1"/>
    <col min="13" max="14" width="9.140625" style="1"/>
    <col min="15" max="23" width="12.7109375" style="1" customWidth="1"/>
    <col min="24" max="24" width="14.42578125" style="1" customWidth="1"/>
    <col min="25" max="16384" width="9.140625" style="1"/>
  </cols>
  <sheetData>
    <row r="1" spans="1:28" ht="18.75" customHeight="1" x14ac:dyDescent="0.25">
      <c r="D1" s="6">
        <f ca="1">+SUM(OFFSET($D$11,0,0,일자별요약v2!$F$8,1))</f>
        <v>40701</v>
      </c>
      <c r="E1" s="6">
        <f ca="1">+SUM(OFFSET($E$11,0,0,일자별요약v2!$F$8,1))</f>
        <v>6321</v>
      </c>
      <c r="F1" s="6">
        <f ca="1">+SUM(OFFSET($F$11,0,0,일자별요약v2!$F$8,1))</f>
        <v>7124</v>
      </c>
      <c r="G1" s="6">
        <f ca="1">+SUM(OFFSET($G$11,0,0,일자별요약v2!$F$8,1))</f>
        <v>13376</v>
      </c>
      <c r="H1" s="6">
        <f ca="1">+SUM(OFFSET($H$11,0,0,일자별요약v2!$F$8,1))</f>
        <v>11852</v>
      </c>
      <c r="I1" s="6">
        <f ca="1">+SUM(OFFSET($I$11,0,0,일자별요약v2!$F$8,1))</f>
        <v>25627</v>
      </c>
      <c r="J1" s="6">
        <f ca="1">+SUM(OFFSET($J$11,0,0,일자별요약v2!$F$8,1))</f>
        <v>5757</v>
      </c>
      <c r="K1" s="6">
        <f ca="1">+SUM(OFFSET($K$11,0,0,일자별요약v2!$F$8,1))</f>
        <v>10016</v>
      </c>
      <c r="L1" s="6">
        <f ca="1">+SUM(OFFSET($L$11,0,0,일자별요약v2!$F$8,1))</f>
        <v>9376</v>
      </c>
    </row>
    <row r="3" spans="1:28" ht="18.75" customHeight="1" x14ac:dyDescent="0.25">
      <c r="C3" s="2" t="s">
        <v>132</v>
      </c>
      <c r="D3" s="7">
        <f>+D10/D9</f>
        <v>729.35294117647061</v>
      </c>
      <c r="E3" s="7">
        <f t="shared" ref="E3:K3" si="0">+E10/E9</f>
        <v>173.94252873563218</v>
      </c>
      <c r="F3" s="7">
        <f t="shared" si="0"/>
        <v>241.42156862745097</v>
      </c>
      <c r="G3" s="7">
        <f t="shared" si="0"/>
        <v>301.5858585858586</v>
      </c>
      <c r="H3" s="7">
        <f t="shared" si="0"/>
        <v>249.42574257425741</v>
      </c>
      <c r="I3" s="7">
        <f t="shared" si="0"/>
        <v>457.47311827956992</v>
      </c>
      <c r="J3" s="7">
        <f t="shared" si="0"/>
        <v>186.89583333333334</v>
      </c>
      <c r="K3" s="7">
        <f t="shared" si="0"/>
        <v>294.86597938144331</v>
      </c>
      <c r="L3" s="6"/>
    </row>
    <row r="4" spans="1:28" ht="18.75" customHeight="1" x14ac:dyDescent="0.25">
      <c r="D4" s="2">
        <f>+RANK(D10,$D$10:$L$10)</f>
        <v>1</v>
      </c>
      <c r="E4" s="2">
        <f t="shared" ref="E4:L4" si="1">+RANK(E10,$D$10:$L$10)</f>
        <v>8</v>
      </c>
      <c r="F4" s="2">
        <f t="shared" si="1"/>
        <v>6</v>
      </c>
      <c r="G4" s="2">
        <f t="shared" si="1"/>
        <v>3</v>
      </c>
      <c r="H4" s="2">
        <f t="shared" si="1"/>
        <v>5</v>
      </c>
      <c r="I4" s="2">
        <f t="shared" si="1"/>
        <v>2</v>
      </c>
      <c r="J4" s="2">
        <f t="shared" si="1"/>
        <v>7</v>
      </c>
      <c r="K4" s="2">
        <f t="shared" si="1"/>
        <v>4</v>
      </c>
      <c r="L4" s="2">
        <f t="shared" si="1"/>
        <v>9</v>
      </c>
    </row>
    <row r="5" spans="1:28" s="14" customFormat="1" ht="18.75" customHeight="1" x14ac:dyDescent="0.25">
      <c r="D5" s="14" t="b">
        <f>+SUM(D11:D146)=D10</f>
        <v>1</v>
      </c>
      <c r="E5" s="14" t="b">
        <f t="shared" ref="E5:L5" si="2">+SUM(E11:E146)=E10</f>
        <v>1</v>
      </c>
      <c r="F5" s="14" t="b">
        <f t="shared" si="2"/>
        <v>1</v>
      </c>
      <c r="G5" s="14" t="b">
        <f t="shared" si="2"/>
        <v>1</v>
      </c>
      <c r="H5" s="14" t="b">
        <f t="shared" si="2"/>
        <v>1</v>
      </c>
      <c r="I5" s="14" t="b">
        <f t="shared" si="2"/>
        <v>1</v>
      </c>
      <c r="J5" s="14" t="b">
        <f t="shared" si="2"/>
        <v>1</v>
      </c>
      <c r="K5" s="14" t="b">
        <f t="shared" si="2"/>
        <v>1</v>
      </c>
      <c r="L5" s="14" t="b">
        <f t="shared" si="2"/>
        <v>1</v>
      </c>
      <c r="N5" s="1" t="s">
        <v>73</v>
      </c>
      <c r="O5" s="133">
        <f>+일자별요약!$N$1</f>
        <v>45390</v>
      </c>
      <c r="P5" s="33" t="s">
        <v>75</v>
      </c>
      <c r="Q5" s="33">
        <f>+일자별요약!$F$7</f>
        <v>45</v>
      </c>
      <c r="X5" s="33" t="s">
        <v>21</v>
      </c>
      <c r="Z5" s="14" t="s">
        <v>101</v>
      </c>
      <c r="AA5" s="212">
        <f>+SUM(AA7:AA20)</f>
        <v>16430.98841832325</v>
      </c>
    </row>
    <row r="6" spans="1:28" ht="18.75" customHeight="1" x14ac:dyDescent="0.25">
      <c r="C6" s="188"/>
      <c r="D6" s="187" t="s">
        <v>3</v>
      </c>
      <c r="E6" s="187" t="s">
        <v>5</v>
      </c>
      <c r="F6" s="187" t="s">
        <v>4</v>
      </c>
      <c r="G6" s="187" t="s">
        <v>10</v>
      </c>
      <c r="H6" s="187" t="s">
        <v>11</v>
      </c>
      <c r="I6" s="187" t="s">
        <v>12</v>
      </c>
      <c r="J6" s="187" t="s">
        <v>13</v>
      </c>
      <c r="K6" s="187" t="s">
        <v>14</v>
      </c>
      <c r="L6" s="187" t="s">
        <v>15</v>
      </c>
      <c r="O6" s="187" t="s">
        <v>3</v>
      </c>
      <c r="P6" s="187" t="s">
        <v>5</v>
      </c>
      <c r="Q6" s="187" t="s">
        <v>4</v>
      </c>
      <c r="R6" s="187" t="s">
        <v>10</v>
      </c>
      <c r="S6" s="187" t="s">
        <v>11</v>
      </c>
      <c r="T6" s="187" t="s">
        <v>12</v>
      </c>
      <c r="U6" s="187" t="s">
        <v>13</v>
      </c>
      <c r="V6" s="187" t="s">
        <v>14</v>
      </c>
      <c r="W6" s="187" t="s">
        <v>15</v>
      </c>
      <c r="X6" s="187" t="s">
        <v>16</v>
      </c>
      <c r="Z6" s="2" t="s">
        <v>102</v>
      </c>
      <c r="AA6" s="2" t="s">
        <v>103</v>
      </c>
      <c r="AB6" s="2" t="s">
        <v>104</v>
      </c>
    </row>
    <row r="7" spans="1:28" ht="18.75" customHeight="1" x14ac:dyDescent="0.25">
      <c r="C7" s="9" t="s">
        <v>6</v>
      </c>
      <c r="D7" s="12">
        <f t="array" ref="D7">+MIN(IF(daily!$F$3:$F$1548=D6,daily!$D$3:$D$1548))</f>
        <v>44112</v>
      </c>
      <c r="E7" s="12">
        <f t="array" ref="E7">+MIN(IF(daily!$F$3:$F$1548=E6,daily!$D$3:$D$1548))</f>
        <v>44302</v>
      </c>
      <c r="F7" s="12">
        <f t="array" ref="F7">+MIN(IF(daily!$F$3:$F$1548=F6,daily!$D$3:$D$1548))</f>
        <v>44469</v>
      </c>
      <c r="G7" s="12">
        <f t="array" ref="G7">+MIN(IF(daily!$F$3:$F$1548=G6,daily!$D$3:$D$1548))</f>
        <v>44620</v>
      </c>
      <c r="H7" s="12">
        <f t="array" ref="H7">+MIN(IF(daily!$F$3:$F$1548=H6,daily!$D$3:$D$1548))</f>
        <v>44771</v>
      </c>
      <c r="I7" s="12">
        <f t="array" ref="I7">+MIN(IF(daily!$F$3:$F$1548=I6,daily!$D$3:$D$1548))</f>
        <v>44919</v>
      </c>
      <c r="J7" s="12">
        <f t="array" ref="J7">+MIN(IF(daily!$F$3:$F$1548=J6,daily!$D$3:$D$1548))</f>
        <v>45049</v>
      </c>
      <c r="K7" s="12">
        <f t="array" ref="K7">+MIN(IF(daily!$F$3:$F$1548=K6,daily!$D$3:$D$1548))</f>
        <v>45195</v>
      </c>
      <c r="L7" s="12">
        <f t="array" ref="L7">+MIN(IF(daily!$F$3:$F$1548=L6,daily!$D$3:$D$1548))</f>
        <v>45346</v>
      </c>
      <c r="N7" s="19">
        <v>1</v>
      </c>
      <c r="O7" s="6">
        <f>+SUMIFS(D$11:D$200,$B$11:$B$200,$N7)</f>
        <v>7509</v>
      </c>
      <c r="P7" s="6">
        <f t="shared" ref="P7:W11" si="3">+SUMIFS(E$11:E$136,$B$11:$B$136,$N7)</f>
        <v>845</v>
      </c>
      <c r="Q7" s="6">
        <f t="shared" si="3"/>
        <v>810</v>
      </c>
      <c r="R7" s="6">
        <f t="shared" si="3"/>
        <v>1920</v>
      </c>
      <c r="S7" s="6">
        <f t="shared" si="3"/>
        <v>2090</v>
      </c>
      <c r="T7" s="6">
        <f t="shared" si="3"/>
        <v>5785</v>
      </c>
      <c r="U7" s="6">
        <f t="shared" si="3"/>
        <v>990</v>
      </c>
      <c r="V7" s="6">
        <f t="shared" si="3"/>
        <v>1797</v>
      </c>
      <c r="W7" s="6">
        <f t="shared" si="3"/>
        <v>2263</v>
      </c>
      <c r="X7" s="6">
        <f>+AVERAGE(P7:V7)</f>
        <v>2033.8571428571429</v>
      </c>
      <c r="Z7" s="211">
        <f>+T7/$T$7</f>
        <v>1</v>
      </c>
      <c r="AA7" s="7">
        <f>+W7</f>
        <v>2263</v>
      </c>
      <c r="AB7" s="211">
        <f>+AA7/$AA$7</f>
        <v>1</v>
      </c>
    </row>
    <row r="8" spans="1:28" ht="18.75" customHeight="1" x14ac:dyDescent="0.25">
      <c r="C8" s="9" t="s">
        <v>7</v>
      </c>
      <c r="D8" s="12">
        <f t="array" ref="D8">+MAX(IF(daily!$F$3:$F$1548=D6,daily!$D$3:$D$1548))</f>
        <v>44247</v>
      </c>
      <c r="E8" s="12">
        <f t="array" ref="E8">+MAX(IF(daily!$F$3:$F$1548=E6,daily!$D$3:$D$1548))</f>
        <v>44388</v>
      </c>
      <c r="F8" s="12">
        <f t="array" ref="F8">+MAX(IF(daily!$F$3:$F$1548=F6,daily!$D$3:$D$1548))</f>
        <v>44570</v>
      </c>
      <c r="G8" s="12">
        <f t="array" ref="G8">+MAX(IF(daily!$F$3:$F$1548=G6,daily!$D$3:$D$1548))</f>
        <v>44718</v>
      </c>
      <c r="H8" s="12">
        <f t="array" ref="H8">+MAX(IF(daily!$F$3:$F$1548=H6,daily!$D$3:$D$1548))</f>
        <v>44871</v>
      </c>
      <c r="I8" s="12">
        <f t="array" ref="I8">+MAX(IF(daily!$F$3:$F$1548=I6,daily!$D$3:$D$1548))</f>
        <v>45011</v>
      </c>
      <c r="J8" s="12">
        <f t="array" ref="J8">+MAX(IF(daily!$F$3:$F$1548=J6,daily!$D$3:$D$1548))</f>
        <v>45144</v>
      </c>
      <c r="K8" s="12">
        <f t="array" ref="K8">+MAX(IF(daily!$F$3:$F$1548=K6,daily!$D$3:$D$1548))</f>
        <v>45291</v>
      </c>
      <c r="L8" s="12">
        <f t="array" ref="L8">+MAX(IF(daily!$F$3:$F$1548=L6,daily!$D$3:$D$1548))</f>
        <v>45438</v>
      </c>
      <c r="N8" s="19">
        <f>+N7+1</f>
        <v>2</v>
      </c>
      <c r="O8" s="6">
        <f t="shared" ref="O8:O24" si="4">+SUMIFS(D$11:D$200,$B$11:$B$200,$N8)</f>
        <v>6055</v>
      </c>
      <c r="P8" s="6">
        <f t="shared" si="3"/>
        <v>868</v>
      </c>
      <c r="Q8" s="6">
        <f t="shared" si="3"/>
        <v>1218</v>
      </c>
      <c r="R8" s="6">
        <f t="shared" si="3"/>
        <v>1953</v>
      </c>
      <c r="S8" s="6">
        <f t="shared" si="3"/>
        <v>1929</v>
      </c>
      <c r="T8" s="6">
        <f t="shared" si="3"/>
        <v>2559</v>
      </c>
      <c r="U8" s="6">
        <f t="shared" si="3"/>
        <v>875</v>
      </c>
      <c r="V8" s="6">
        <f t="shared" si="3"/>
        <v>1912</v>
      </c>
      <c r="W8" s="6">
        <f t="shared" si="3"/>
        <v>1108</v>
      </c>
      <c r="X8" s="6">
        <f t="shared" ref="X8:X20" si="5">+AVERAGE(P8:V8)</f>
        <v>1616.2857142857142</v>
      </c>
      <c r="Z8" s="211">
        <f t="shared" ref="Z8:Z20" si="6">+T8/$T$7</f>
        <v>0.44235090751944683</v>
      </c>
      <c r="AA8" s="7">
        <f>+W8</f>
        <v>1108</v>
      </c>
      <c r="AB8" s="211">
        <f>+AA8/$AA$7</f>
        <v>0.48961555457357492</v>
      </c>
    </row>
    <row r="9" spans="1:28" ht="18.75" customHeight="1" x14ac:dyDescent="0.25">
      <c r="C9" s="9" t="s">
        <v>9</v>
      </c>
      <c r="D9" s="10">
        <f t="shared" ref="D9:L9" si="7">+D8-D7+1</f>
        <v>136</v>
      </c>
      <c r="E9" s="10">
        <f t="shared" si="7"/>
        <v>87</v>
      </c>
      <c r="F9" s="10">
        <f t="shared" si="7"/>
        <v>102</v>
      </c>
      <c r="G9" s="10">
        <f t="shared" si="7"/>
        <v>99</v>
      </c>
      <c r="H9" s="10">
        <f t="shared" si="7"/>
        <v>101</v>
      </c>
      <c r="I9" s="10">
        <f t="shared" si="7"/>
        <v>93</v>
      </c>
      <c r="J9" s="10">
        <f t="shared" si="7"/>
        <v>96</v>
      </c>
      <c r="K9" s="10">
        <f t="shared" si="7"/>
        <v>97</v>
      </c>
      <c r="L9" s="10">
        <f t="shared" si="7"/>
        <v>93</v>
      </c>
      <c r="N9" s="19">
        <f t="shared" ref="N9:N26" si="8">+N8+1</f>
        <v>3</v>
      </c>
      <c r="O9" s="6">
        <f t="shared" si="4"/>
        <v>5911</v>
      </c>
      <c r="P9" s="6">
        <f t="shared" ref="P9:P19" si="9">+SUMIFS(E$11:E$136,$B$11:$B$136,$N9)</f>
        <v>1152</v>
      </c>
      <c r="Q9" s="6">
        <f t="shared" ref="Q9:Q19" si="10">+SUMIFS(F$11:F$136,$B$11:$B$136,$N9)</f>
        <v>847</v>
      </c>
      <c r="R9" s="6">
        <f t="shared" ref="R9:R19" si="11">+SUMIFS(G$11:G$136,$B$11:$B$136,$N9)</f>
        <v>2011</v>
      </c>
      <c r="S9" s="6">
        <f t="shared" ref="S9:S19" si="12">+SUMIFS(H$11:H$136,$B$11:$B$136,$N9)</f>
        <v>2139</v>
      </c>
      <c r="T9" s="6">
        <f t="shared" ref="T9:T19" si="13">+SUMIFS(I$11:I$136,$B$11:$B$136,$N9)</f>
        <v>4095</v>
      </c>
      <c r="U9" s="6">
        <f t="shared" ref="U9:U19" si="14">+SUMIFS(J$11:J$136,$B$11:$B$136,$N9)</f>
        <v>908</v>
      </c>
      <c r="V9" s="6">
        <f t="shared" ref="V9:V19" si="15">+SUMIFS(K$11:K$136,$B$11:$B$136,$N9)</f>
        <v>1558</v>
      </c>
      <c r="W9" s="6">
        <f t="shared" si="3"/>
        <v>1283</v>
      </c>
      <c r="X9" s="6">
        <f t="shared" si="5"/>
        <v>1815.7142857142858</v>
      </c>
      <c r="Z9" s="211">
        <f t="shared" si="6"/>
        <v>0.7078651685393258</v>
      </c>
      <c r="AA9" s="7">
        <f>+W9</f>
        <v>1283</v>
      </c>
      <c r="AB9" s="211">
        <f t="shared" ref="AB9:AB20" si="16">+AA9/$AA$7</f>
        <v>0.56694653115333626</v>
      </c>
    </row>
    <row r="10" spans="1:28" ht="18.75" customHeight="1" x14ac:dyDescent="0.25">
      <c r="C10" s="9" t="s">
        <v>1</v>
      </c>
      <c r="D10" s="11">
        <f>+SUMIFS(daily!$E$3:$E$1548,daily!$F$3:$F$1548,요약!D$6)</f>
        <v>99192</v>
      </c>
      <c r="E10" s="11">
        <f>+SUMIFS(daily!$E$3:$E$1548,daily!$F$3:$F$1548,요약!E$6)</f>
        <v>15133</v>
      </c>
      <c r="F10" s="11">
        <f>+SUMIFS(daily!$E$3:$E$1548,daily!$F$3:$F$1548,요약!F$6)</f>
        <v>24625</v>
      </c>
      <c r="G10" s="11">
        <f>+SUMIFS(daily!$E$3:$E$1548,daily!$F$3:$F$1548,요약!G$6)</f>
        <v>29857</v>
      </c>
      <c r="H10" s="11">
        <f>+SUMIFS(daily!$E$3:$E$1548,daily!$F$3:$F$1548,요약!H$6)</f>
        <v>25192</v>
      </c>
      <c r="I10" s="11">
        <f>+SUMIFS(daily!$E$3:$E$1548,daily!$F$3:$F$1548,요약!I$6)</f>
        <v>42545</v>
      </c>
      <c r="J10" s="11">
        <f>+SUMIFS(daily!$E$3:$E$1548,daily!$F$3:$F$1548,요약!J$6)</f>
        <v>17942</v>
      </c>
      <c r="K10" s="11">
        <f>+SUMIFS(daily!$E$3:$E$1548,daily!$F$3:$F$1548,요약!K$6)</f>
        <v>28602</v>
      </c>
      <c r="L10" s="11">
        <f>+SUMIFS(daily!$E$3:$E$1548,daily!$F$3:$F$1548,요약!L$6)</f>
        <v>9376</v>
      </c>
      <c r="N10" s="19">
        <f t="shared" si="8"/>
        <v>4</v>
      </c>
      <c r="O10" s="6">
        <f t="shared" si="4"/>
        <v>5843</v>
      </c>
      <c r="P10" s="6">
        <f t="shared" si="9"/>
        <v>840</v>
      </c>
      <c r="Q10" s="6">
        <f t="shared" si="10"/>
        <v>1082</v>
      </c>
      <c r="R10" s="6">
        <f t="shared" si="11"/>
        <v>2419</v>
      </c>
      <c r="S10" s="6">
        <f t="shared" si="12"/>
        <v>1774</v>
      </c>
      <c r="T10" s="6">
        <f t="shared" si="13"/>
        <v>4261</v>
      </c>
      <c r="U10" s="6">
        <f t="shared" si="14"/>
        <v>1020</v>
      </c>
      <c r="V10" s="6">
        <f t="shared" si="15"/>
        <v>1646</v>
      </c>
      <c r="W10" s="6">
        <f t="shared" si="3"/>
        <v>1305</v>
      </c>
      <c r="X10" s="6">
        <f t="shared" si="5"/>
        <v>1863.1428571428571</v>
      </c>
      <c r="Z10" s="211">
        <f t="shared" si="6"/>
        <v>0.7365600691443388</v>
      </c>
      <c r="AA10" s="7">
        <f>+$AA$7*Z10</f>
        <v>1666.8354364736388</v>
      </c>
      <c r="AB10" s="211">
        <f t="shared" si="16"/>
        <v>0.7365600691443388</v>
      </c>
    </row>
    <row r="11" spans="1:28" ht="18.75" customHeight="1" x14ac:dyDescent="0.25">
      <c r="A11" s="2"/>
      <c r="B11" s="19">
        <v>1</v>
      </c>
      <c r="C11" s="15">
        <v>1</v>
      </c>
      <c r="D11" s="16">
        <f>+VLOOKUP(D$7-1+$C11,daily!$D$3:$E$1548,2,0)</f>
        <v>899</v>
      </c>
      <c r="E11" s="16">
        <f>+VLOOKUP(E$7-1+$C11,daily!$D$3:$E$1548,2,0)</f>
        <v>158</v>
      </c>
      <c r="F11" s="16">
        <f>+VLOOKUP(F$7-1+$C11,daily!$D$3:$E$1548,2,0)</f>
        <v>89</v>
      </c>
      <c r="G11" s="16">
        <f>+VLOOKUP(G$7-1+$C11,daily!$D$3:$E$1548,2,0)</f>
        <v>285</v>
      </c>
      <c r="H11" s="16">
        <f>+VLOOKUP(H$7-1+$C11,daily!$D$3:$E$1548,2,0)</f>
        <v>342</v>
      </c>
      <c r="I11" s="16">
        <f>+VLOOKUP(I$7-1+$C11,daily!$D$3:$E$1548,2,0)</f>
        <v>1532</v>
      </c>
      <c r="J11" s="16">
        <f>+VLOOKUP(J$7-1+$C11,daily!$D$3:$E$1548,2,0)</f>
        <v>106</v>
      </c>
      <c r="K11" s="16">
        <f>+VLOOKUP(K$7-1+$C11,daily!$D$3:$E$1548,2,0)</f>
        <v>227</v>
      </c>
      <c r="L11" s="16">
        <f>+VLOOKUP(L$7-1+$C11,daily!$D$3:$E$1548,2,0)</f>
        <v>626</v>
      </c>
      <c r="N11" s="19">
        <f t="shared" si="8"/>
        <v>5</v>
      </c>
      <c r="O11" s="6">
        <f t="shared" si="4"/>
        <v>6046</v>
      </c>
      <c r="P11" s="6">
        <f t="shared" si="9"/>
        <v>1106</v>
      </c>
      <c r="Q11" s="6">
        <f t="shared" si="10"/>
        <v>1162</v>
      </c>
      <c r="R11" s="6">
        <f t="shared" si="11"/>
        <v>2557</v>
      </c>
      <c r="S11" s="6">
        <f t="shared" si="12"/>
        <v>2377</v>
      </c>
      <c r="T11" s="6">
        <f t="shared" si="13"/>
        <v>2925</v>
      </c>
      <c r="U11" s="6">
        <f t="shared" si="14"/>
        <v>881</v>
      </c>
      <c r="V11" s="6">
        <f t="shared" si="15"/>
        <v>1272</v>
      </c>
      <c r="W11" s="6">
        <f t="shared" si="3"/>
        <v>1227</v>
      </c>
      <c r="X11" s="6">
        <f t="shared" si="5"/>
        <v>1754.2857142857142</v>
      </c>
      <c r="Z11" s="211">
        <f t="shared" si="6"/>
        <v>0.5056179775280899</v>
      </c>
      <c r="AA11" s="7">
        <f t="shared" ref="AA11:AA20" si="17">+$AA$7*Z11</f>
        <v>1144.2134831460673</v>
      </c>
      <c r="AB11" s="211">
        <f t="shared" si="16"/>
        <v>0.5056179775280899</v>
      </c>
    </row>
    <row r="12" spans="1:28" ht="18.75" customHeight="1" x14ac:dyDescent="0.25">
      <c r="A12" s="2"/>
      <c r="B12" s="19">
        <v>1</v>
      </c>
      <c r="C12" s="17">
        <f>+C11+1</f>
        <v>2</v>
      </c>
      <c r="D12" s="18">
        <f>+VLOOKUP(D$7-1+$C12,daily!$D$3:$E$1548,2,0)</f>
        <v>1682</v>
      </c>
      <c r="E12" s="18">
        <f>+VLOOKUP(E$7-1+$C12,daily!$D$3:$E$1548,2,0)</f>
        <v>265</v>
      </c>
      <c r="F12" s="18">
        <f>+VLOOKUP(F$7-1+$C12,daily!$D$3:$E$1548,2,0)</f>
        <v>98</v>
      </c>
      <c r="G12" s="18">
        <f>+VLOOKUP(G$7-1+$C12,daily!$D$3:$E$1548,2,0)</f>
        <v>356</v>
      </c>
      <c r="H12" s="18">
        <f>+VLOOKUP(H$7-1+$C12,daily!$D$3:$E$1548,2,0)</f>
        <v>453</v>
      </c>
      <c r="I12" s="18">
        <f>+VLOOKUP(I$7-1+$C12,daily!$D$3:$E$1548,2,0)</f>
        <v>1116</v>
      </c>
      <c r="J12" s="18">
        <f>+VLOOKUP(J$7-1+$C12,daily!$D$3:$E$1548,2,0)</f>
        <v>107</v>
      </c>
      <c r="K12" s="18">
        <f>+VLOOKUP(K$7-1+$C12,daily!$D$3:$E$1548,2,0)</f>
        <v>274</v>
      </c>
      <c r="L12" s="18">
        <f>+VLOOKUP(L$7-1+$C12,daily!$D$3:$E$1548,2,0)</f>
        <v>389</v>
      </c>
      <c r="N12" s="19">
        <f t="shared" si="8"/>
        <v>6</v>
      </c>
      <c r="O12" s="6">
        <f t="shared" si="4"/>
        <v>6560</v>
      </c>
      <c r="P12" s="6">
        <f t="shared" si="9"/>
        <v>1025</v>
      </c>
      <c r="Q12" s="6">
        <f t="shared" si="10"/>
        <v>1230</v>
      </c>
      <c r="R12" s="6">
        <f t="shared" si="11"/>
        <v>2035</v>
      </c>
      <c r="S12" s="6">
        <f t="shared" si="12"/>
        <v>1248</v>
      </c>
      <c r="T12" s="6">
        <f t="shared" si="13"/>
        <v>4599</v>
      </c>
      <c r="U12" s="6">
        <f t="shared" si="14"/>
        <v>748</v>
      </c>
      <c r="V12" s="6">
        <f t="shared" si="15"/>
        <v>1409</v>
      </c>
      <c r="W12" s="20"/>
      <c r="X12" s="6">
        <f t="shared" si="5"/>
        <v>1756.2857142857142</v>
      </c>
      <c r="Z12" s="211">
        <f t="shared" si="6"/>
        <v>0.79498703543647364</v>
      </c>
      <c r="AA12" s="7">
        <f t="shared" si="17"/>
        <v>1799.0556611927398</v>
      </c>
      <c r="AB12" s="211">
        <f t="shared" si="16"/>
        <v>0.79498703543647364</v>
      </c>
    </row>
    <row r="13" spans="1:28" ht="18.75" customHeight="1" x14ac:dyDescent="0.25">
      <c r="B13" s="19">
        <v>1</v>
      </c>
      <c r="C13" s="17">
        <f t="shared" ref="C13:C76" si="18">+C12+1</f>
        <v>3</v>
      </c>
      <c r="D13" s="18">
        <f>+VLOOKUP(D$7-1+$C13,daily!$D$3:$E$1548,2,0)</f>
        <v>1564</v>
      </c>
      <c r="E13" s="18">
        <f>+VLOOKUP(E$7-1+$C13,daily!$D$3:$E$1548,2,0)</f>
        <v>151</v>
      </c>
      <c r="F13" s="18">
        <f>+VLOOKUP(F$7-1+$C13,daily!$D$3:$E$1548,2,0)</f>
        <v>188</v>
      </c>
      <c r="G13" s="18">
        <f>+VLOOKUP(G$7-1+$C13,daily!$D$3:$E$1548,2,0)</f>
        <v>130</v>
      </c>
      <c r="H13" s="18">
        <f>+VLOOKUP(H$7-1+$C13,daily!$D$3:$E$1548,2,0)</f>
        <v>338</v>
      </c>
      <c r="I13" s="18">
        <f>+VLOOKUP(I$7-1+$C13,daily!$D$3:$E$1548,2,0)</f>
        <v>632</v>
      </c>
      <c r="J13" s="18">
        <f>+VLOOKUP(J$7-1+$C13,daily!$D$3:$E$1548,2,0)</f>
        <v>287</v>
      </c>
      <c r="K13" s="18">
        <f>+VLOOKUP(K$7-1+$C13,daily!$D$3:$E$1548,2,0)</f>
        <v>124</v>
      </c>
      <c r="L13" s="18">
        <f>+VLOOKUP(L$7-1+$C13,daily!$D$3:$E$1548,2,0)</f>
        <v>135</v>
      </c>
      <c r="N13" s="19">
        <f t="shared" si="8"/>
        <v>7</v>
      </c>
      <c r="O13" s="6">
        <f t="shared" si="4"/>
        <v>5148</v>
      </c>
      <c r="P13" s="6">
        <f t="shared" si="9"/>
        <v>661</v>
      </c>
      <c r="Q13" s="6">
        <f t="shared" si="10"/>
        <v>1498</v>
      </c>
      <c r="R13" s="6">
        <f t="shared" si="11"/>
        <v>1617</v>
      </c>
      <c r="S13" s="6">
        <f t="shared" si="12"/>
        <v>976</v>
      </c>
      <c r="T13" s="6">
        <f t="shared" si="13"/>
        <v>2327</v>
      </c>
      <c r="U13" s="6">
        <f t="shared" si="14"/>
        <v>829</v>
      </c>
      <c r="V13" s="6">
        <f t="shared" si="15"/>
        <v>1776</v>
      </c>
      <c r="W13" s="20"/>
      <c r="X13" s="6">
        <f t="shared" si="5"/>
        <v>1383.4285714285713</v>
      </c>
      <c r="Z13" s="211">
        <f t="shared" si="6"/>
        <v>0.40224719101123596</v>
      </c>
      <c r="AA13" s="7">
        <f t="shared" si="17"/>
        <v>910.28539325842701</v>
      </c>
      <c r="AB13" s="211">
        <f t="shared" si="16"/>
        <v>0.40224719101123596</v>
      </c>
    </row>
    <row r="14" spans="1:28" ht="18.75" customHeight="1" x14ac:dyDescent="0.25">
      <c r="B14" s="19">
        <v>1</v>
      </c>
      <c r="C14" s="17">
        <f t="shared" si="18"/>
        <v>4</v>
      </c>
      <c r="D14" s="18">
        <f>+VLOOKUP(D$7-1+$C14,daily!$D$3:$E$1548,2,0)</f>
        <v>1409</v>
      </c>
      <c r="E14" s="18">
        <f>+VLOOKUP(E$7-1+$C14,daily!$D$3:$E$1548,2,0)</f>
        <v>0</v>
      </c>
      <c r="F14" s="18">
        <f>+VLOOKUP(F$7-1+$C14,daily!$D$3:$E$1548,2,0)</f>
        <v>158</v>
      </c>
      <c r="G14" s="18">
        <f>+VLOOKUP(G$7-1+$C14,daily!$D$3:$E$1548,2,0)</f>
        <v>107</v>
      </c>
      <c r="H14" s="18">
        <f>+VLOOKUP(H$7-1+$C14,daily!$D$3:$E$1548,2,0)</f>
        <v>212</v>
      </c>
      <c r="I14" s="18">
        <f>+VLOOKUP(I$7-1+$C14,daily!$D$3:$E$1548,2,0)</f>
        <v>575</v>
      </c>
      <c r="J14" s="18">
        <f>+VLOOKUP(J$7-1+$C14,daily!$D$3:$E$1548,2,0)</f>
        <v>205</v>
      </c>
      <c r="K14" s="18">
        <f>+VLOOKUP(K$7-1+$C14,daily!$D$3:$E$1548,2,0)</f>
        <v>105</v>
      </c>
      <c r="L14" s="18">
        <f>+VLOOKUP(L$7-1+$C14,daily!$D$3:$E$1548,2,0)</f>
        <v>161</v>
      </c>
      <c r="N14" s="19">
        <f t="shared" si="8"/>
        <v>8</v>
      </c>
      <c r="O14" s="6">
        <f t="shared" si="4"/>
        <v>3005</v>
      </c>
      <c r="P14" s="901">
        <f t="shared" si="9"/>
        <v>785</v>
      </c>
      <c r="Q14" s="6">
        <f t="shared" si="10"/>
        <v>2045</v>
      </c>
      <c r="R14" s="6">
        <f t="shared" si="11"/>
        <v>1247</v>
      </c>
      <c r="S14" s="6">
        <f t="shared" si="12"/>
        <v>1266</v>
      </c>
      <c r="T14" s="901">
        <f t="shared" si="13"/>
        <v>2548</v>
      </c>
      <c r="U14" s="901">
        <f t="shared" si="14"/>
        <v>837</v>
      </c>
      <c r="V14" s="901">
        <f t="shared" si="15"/>
        <v>1840</v>
      </c>
      <c r="W14" s="20"/>
      <c r="X14" s="6">
        <f t="shared" si="5"/>
        <v>1509.7142857142858</v>
      </c>
      <c r="Z14" s="211">
        <f t="shared" si="6"/>
        <v>0.44044943820224719</v>
      </c>
      <c r="AA14" s="7">
        <f t="shared" si="17"/>
        <v>996.73707865168535</v>
      </c>
      <c r="AB14" s="211">
        <f t="shared" si="16"/>
        <v>0.44044943820224719</v>
      </c>
    </row>
    <row r="15" spans="1:28" ht="18.75" customHeight="1" x14ac:dyDescent="0.25">
      <c r="B15" s="19">
        <v>1</v>
      </c>
      <c r="C15" s="17">
        <f t="shared" si="18"/>
        <v>5</v>
      </c>
      <c r="D15" s="18">
        <f>+VLOOKUP(D$7-1+$C15,daily!$D$3:$E$1548,2,0)</f>
        <v>614</v>
      </c>
      <c r="E15" s="18">
        <f>+VLOOKUP(E$7-1+$C15,daily!$D$3:$E$1548,2,0)</f>
        <v>70</v>
      </c>
      <c r="F15" s="18">
        <f>+VLOOKUP(F$7-1+$C15,daily!$D$3:$E$1548,2,0)</f>
        <v>181</v>
      </c>
      <c r="G15" s="18">
        <f>+VLOOKUP(G$7-1+$C15,daily!$D$3:$E$1548,2,0)</f>
        <v>143</v>
      </c>
      <c r="H15" s="18">
        <f>+VLOOKUP(H$7-1+$C15,daily!$D$3:$E$1548,2,0)</f>
        <v>211</v>
      </c>
      <c r="I15" s="18">
        <f>+VLOOKUP(I$7-1+$C15,daily!$D$3:$E$1548,2,0)</f>
        <v>573</v>
      </c>
      <c r="J15" s="18">
        <f>+VLOOKUP(J$7-1+$C15,daily!$D$3:$E$1548,2,0)</f>
        <v>115</v>
      </c>
      <c r="K15" s="18">
        <f>+VLOOKUP(K$7-1+$C15,daily!$D$3:$E$1548,2,0)</f>
        <v>413</v>
      </c>
      <c r="L15" s="18">
        <f>+VLOOKUP(L$7-1+$C15,daily!$D$3:$E$1548,2,0)</f>
        <v>175</v>
      </c>
      <c r="N15" s="19">
        <f t="shared" si="8"/>
        <v>9</v>
      </c>
      <c r="O15" s="6">
        <f t="shared" si="4"/>
        <v>2201</v>
      </c>
      <c r="P15" s="902">
        <f t="shared" si="9"/>
        <v>815</v>
      </c>
      <c r="Q15" s="901">
        <f t="shared" si="10"/>
        <v>2005</v>
      </c>
      <c r="R15" s="901">
        <f t="shared" si="11"/>
        <v>2015</v>
      </c>
      <c r="S15" s="901">
        <f t="shared" si="12"/>
        <v>1185</v>
      </c>
      <c r="T15" s="902">
        <f t="shared" si="13"/>
        <v>2430</v>
      </c>
      <c r="U15" s="902">
        <f t="shared" si="14"/>
        <v>1167</v>
      </c>
      <c r="V15" s="902">
        <f t="shared" si="15"/>
        <v>1918</v>
      </c>
      <c r="W15" s="20"/>
      <c r="X15" s="6">
        <f t="shared" si="5"/>
        <v>1647.8571428571429</v>
      </c>
      <c r="Z15" s="211">
        <f t="shared" si="6"/>
        <v>0.42005185825410546</v>
      </c>
      <c r="AA15" s="7">
        <f t="shared" si="17"/>
        <v>950.57735522904068</v>
      </c>
      <c r="AB15" s="211">
        <f t="shared" si="16"/>
        <v>0.42005185825410546</v>
      </c>
    </row>
    <row r="16" spans="1:28" ht="18.75" customHeight="1" x14ac:dyDescent="0.25">
      <c r="B16" s="19">
        <v>1</v>
      </c>
      <c r="C16" s="17">
        <f t="shared" si="18"/>
        <v>6</v>
      </c>
      <c r="D16" s="18">
        <f>+VLOOKUP(D$7-1+$C16,daily!$D$3:$E$1548,2,0)</f>
        <v>614</v>
      </c>
      <c r="E16" s="18">
        <f>+VLOOKUP(E$7-1+$C16,daily!$D$3:$E$1548,2,0)</f>
        <v>69</v>
      </c>
      <c r="F16" s="18">
        <f>+VLOOKUP(F$7-1+$C16,daily!$D$3:$E$1548,2,0)</f>
        <v>36</v>
      </c>
      <c r="G16" s="18">
        <f>+VLOOKUP(G$7-1+$C16,daily!$D$3:$E$1548,2,0)</f>
        <v>509</v>
      </c>
      <c r="H16" s="18">
        <f>+VLOOKUP(H$7-1+$C16,daily!$D$3:$E$1548,2,0)</f>
        <v>302</v>
      </c>
      <c r="I16" s="18">
        <f>+VLOOKUP(I$7-1+$C16,daily!$D$3:$E$1548,2,0)</f>
        <v>610</v>
      </c>
      <c r="J16" s="18">
        <f>+VLOOKUP(J$7-1+$C16,daily!$D$3:$E$1548,2,0)</f>
        <v>64</v>
      </c>
      <c r="K16" s="18">
        <f>+VLOOKUP(K$7-1+$C16,daily!$D$3:$E$1548,2,0)</f>
        <v>305</v>
      </c>
      <c r="L16" s="18">
        <f>+VLOOKUP(L$7-1+$C16,daily!$D$3:$E$1548,2,0)</f>
        <v>140</v>
      </c>
      <c r="N16" s="19">
        <f t="shared" si="8"/>
        <v>10</v>
      </c>
      <c r="O16" s="6">
        <f t="shared" si="4"/>
        <v>1566</v>
      </c>
      <c r="P16" s="902">
        <f t="shared" si="9"/>
        <v>1129</v>
      </c>
      <c r="Q16" s="902">
        <f t="shared" si="10"/>
        <v>1412</v>
      </c>
      <c r="R16" s="902">
        <f t="shared" si="11"/>
        <v>1690</v>
      </c>
      <c r="S16" s="902">
        <f t="shared" si="12"/>
        <v>1561</v>
      </c>
      <c r="T16" s="902">
        <f t="shared" si="13"/>
        <v>2379</v>
      </c>
      <c r="U16" s="902">
        <f t="shared" si="14"/>
        <v>1141</v>
      </c>
      <c r="V16" s="902">
        <f t="shared" si="15"/>
        <v>1621</v>
      </c>
      <c r="W16" s="20"/>
      <c r="X16" s="6">
        <f t="shared" si="5"/>
        <v>1561.8571428571429</v>
      </c>
      <c r="Z16" s="211">
        <f t="shared" si="6"/>
        <v>0.41123595505617977</v>
      </c>
      <c r="AA16" s="7">
        <f t="shared" si="17"/>
        <v>930.62696629213485</v>
      </c>
      <c r="AB16" s="211">
        <f t="shared" si="16"/>
        <v>0.41123595505617977</v>
      </c>
    </row>
    <row r="17" spans="2:28" ht="18.75" customHeight="1" x14ac:dyDescent="0.25">
      <c r="B17" s="19">
        <v>1</v>
      </c>
      <c r="C17" s="17">
        <f t="shared" si="18"/>
        <v>7</v>
      </c>
      <c r="D17" s="18">
        <f>+VLOOKUP(D$7-1+$C17,daily!$D$3:$E$1548,2,0)</f>
        <v>727</v>
      </c>
      <c r="E17" s="18">
        <f>+VLOOKUP(E$7-1+$C17,daily!$D$3:$E$1548,2,0)</f>
        <v>132</v>
      </c>
      <c r="F17" s="18">
        <f>+VLOOKUP(F$7-1+$C17,daily!$D$3:$E$1548,2,0)</f>
        <v>60</v>
      </c>
      <c r="G17" s="18">
        <f>+VLOOKUP(G$7-1+$C17,daily!$D$3:$E$1548,2,0)</f>
        <v>390</v>
      </c>
      <c r="H17" s="18">
        <f>+VLOOKUP(H$7-1+$C17,daily!$D$3:$E$1548,2,0)</f>
        <v>232</v>
      </c>
      <c r="I17" s="18">
        <f>+VLOOKUP(I$7-1+$C17,daily!$D$3:$E$1548,2,0)</f>
        <v>747</v>
      </c>
      <c r="J17" s="18">
        <f>+VLOOKUP(J$7-1+$C17,daily!$D$3:$E$1548,2,0)</f>
        <v>106</v>
      </c>
      <c r="K17" s="18">
        <f>+VLOOKUP(K$7-1+$C17,daily!$D$3:$E$1548,2,0)</f>
        <v>349</v>
      </c>
      <c r="L17" s="18">
        <f>+VLOOKUP(L$7-1+$C17,daily!$D$3:$E$1548,2,0)</f>
        <v>637</v>
      </c>
      <c r="N17" s="19">
        <f t="shared" si="8"/>
        <v>11</v>
      </c>
      <c r="O17" s="901">
        <f t="shared" si="4"/>
        <v>1467</v>
      </c>
      <c r="P17" s="902">
        <f t="shared" si="9"/>
        <v>1744</v>
      </c>
      <c r="Q17" s="902">
        <f t="shared" si="10"/>
        <v>1113</v>
      </c>
      <c r="R17" s="902">
        <f t="shared" si="11"/>
        <v>1593</v>
      </c>
      <c r="S17" s="902">
        <f t="shared" si="12"/>
        <v>1742</v>
      </c>
      <c r="T17" s="902">
        <f t="shared" si="13"/>
        <v>1625</v>
      </c>
      <c r="U17" s="902">
        <f t="shared" si="14"/>
        <v>1655</v>
      </c>
      <c r="V17" s="902">
        <f t="shared" si="15"/>
        <v>1962</v>
      </c>
      <c r="W17" s="20"/>
      <c r="X17" s="6">
        <f t="shared" si="5"/>
        <v>1633.4285714285713</v>
      </c>
      <c r="Z17" s="211">
        <f t="shared" si="6"/>
        <v>0.2808988764044944</v>
      </c>
      <c r="AA17" s="7">
        <f t="shared" si="17"/>
        <v>635.67415730337086</v>
      </c>
      <c r="AB17" s="211">
        <f t="shared" si="16"/>
        <v>0.2808988764044944</v>
      </c>
    </row>
    <row r="18" spans="2:28" ht="18.75" customHeight="1" x14ac:dyDescent="0.25">
      <c r="B18" s="19">
        <f>+B11+1</f>
        <v>2</v>
      </c>
      <c r="C18" s="17">
        <f t="shared" si="18"/>
        <v>8</v>
      </c>
      <c r="D18" s="18">
        <f>+VLOOKUP(D$7-1+$C18,daily!$D$3:$E$1548,2,0)</f>
        <v>630</v>
      </c>
      <c r="E18" s="18">
        <f>+VLOOKUP(E$7-1+$C18,daily!$D$3:$E$1548,2,0)</f>
        <v>96</v>
      </c>
      <c r="F18" s="18">
        <f>+VLOOKUP(F$7-1+$C18,daily!$D$3:$E$1548,2,0)</f>
        <v>73</v>
      </c>
      <c r="G18" s="18">
        <f>+VLOOKUP(G$7-1+$C18,daily!$D$3:$E$1548,2,0)</f>
        <v>0</v>
      </c>
      <c r="H18" s="18">
        <f>+VLOOKUP(H$7-1+$C18,daily!$D$3:$E$1548,2,0)</f>
        <v>240</v>
      </c>
      <c r="I18" s="18">
        <f>+VLOOKUP(I$7-1+$C18,daily!$D$3:$E$1548,2,0)</f>
        <v>787</v>
      </c>
      <c r="J18" s="18">
        <f>+VLOOKUP(J$7-1+$C18,daily!$D$3:$E$1548,2,0)</f>
        <v>54</v>
      </c>
      <c r="K18" s="18">
        <f>+VLOOKUP(K$7-1+$C18,daily!$D$3:$E$1548,2,0)</f>
        <v>336</v>
      </c>
      <c r="L18" s="18">
        <f>+VLOOKUP(L$7-1+$C18,daily!$D$3:$E$1548,2,0)</f>
        <v>452</v>
      </c>
      <c r="N18" s="19">
        <f t="shared" si="8"/>
        <v>12</v>
      </c>
      <c r="O18" s="902">
        <f t="shared" si="4"/>
        <v>1924</v>
      </c>
      <c r="P18" s="902">
        <f t="shared" si="9"/>
        <v>2410</v>
      </c>
      <c r="Q18" s="902">
        <f t="shared" si="10"/>
        <v>1483</v>
      </c>
      <c r="R18" s="902">
        <f t="shared" si="11"/>
        <v>1920</v>
      </c>
      <c r="S18" s="902">
        <f t="shared" si="12"/>
        <v>1556</v>
      </c>
      <c r="T18" s="902">
        <f t="shared" si="13"/>
        <v>1938</v>
      </c>
      <c r="U18" s="902">
        <f t="shared" si="14"/>
        <v>1748</v>
      </c>
      <c r="V18" s="902">
        <f t="shared" si="15"/>
        <v>2453</v>
      </c>
      <c r="W18" s="20"/>
      <c r="X18" s="6">
        <f t="shared" si="5"/>
        <v>1929.7142857142858</v>
      </c>
      <c r="Z18" s="211">
        <f t="shared" si="6"/>
        <v>0.33500432152117543</v>
      </c>
      <c r="AA18" s="7">
        <f t="shared" si="17"/>
        <v>758.11477960241996</v>
      </c>
      <c r="AB18" s="211">
        <f t="shared" si="16"/>
        <v>0.33500432152117543</v>
      </c>
    </row>
    <row r="19" spans="2:28" ht="18.75" customHeight="1" x14ac:dyDescent="0.25">
      <c r="B19" s="19">
        <f t="shared" ref="B19:B82" si="19">+B12+1</f>
        <v>2</v>
      </c>
      <c r="C19" s="17">
        <f t="shared" si="18"/>
        <v>9</v>
      </c>
      <c r="D19" s="18">
        <f>+VLOOKUP(D$7-1+$C19,daily!$D$3:$E$1548,2,0)</f>
        <v>659</v>
      </c>
      <c r="E19" s="18">
        <f>+VLOOKUP(E$7-1+$C19,daily!$D$3:$E$1548,2,0)</f>
        <v>254</v>
      </c>
      <c r="F19" s="18">
        <f>+VLOOKUP(F$7-1+$C19,daily!$D$3:$E$1548,2,0)</f>
        <v>110</v>
      </c>
      <c r="G19" s="18">
        <f>+VLOOKUP(G$7-1+$C19,daily!$D$3:$E$1548,2,0)</f>
        <v>129</v>
      </c>
      <c r="H19" s="18">
        <f>+VLOOKUP(H$7-1+$C19,daily!$D$3:$E$1548,2,0)</f>
        <v>489</v>
      </c>
      <c r="I19" s="18">
        <f>+VLOOKUP(I$7-1+$C19,daily!$D$3:$E$1548,2,0)</f>
        <v>0</v>
      </c>
      <c r="J19" s="18">
        <f>+VLOOKUP(J$7-1+$C19,daily!$D$3:$E$1548,2,0)</f>
        <v>96</v>
      </c>
      <c r="K19" s="18">
        <f>+VLOOKUP(K$7-1+$C19,daily!$D$3:$E$1548,2,0)</f>
        <v>120</v>
      </c>
      <c r="L19" s="18">
        <f>+VLOOKUP(L$7-1+$C19,daily!$D$3:$E$1548,2,0)</f>
        <v>241</v>
      </c>
      <c r="N19" s="19">
        <f t="shared" si="8"/>
        <v>13</v>
      </c>
      <c r="O19" s="902">
        <f t="shared" si="4"/>
        <v>1795</v>
      </c>
      <c r="P19" s="902">
        <f t="shared" si="9"/>
        <v>1753</v>
      </c>
      <c r="Q19" s="902">
        <f t="shared" si="10"/>
        <v>2722</v>
      </c>
      <c r="R19" s="902">
        <f t="shared" si="11"/>
        <v>2218</v>
      </c>
      <c r="S19" s="902">
        <f t="shared" si="12"/>
        <v>1535</v>
      </c>
      <c r="T19" s="902">
        <f t="shared" si="13"/>
        <v>3138</v>
      </c>
      <c r="U19" s="902">
        <f t="shared" si="14"/>
        <v>2669</v>
      </c>
      <c r="V19" s="902">
        <f t="shared" si="15"/>
        <v>3403</v>
      </c>
      <c r="W19" s="20"/>
      <c r="X19" s="6">
        <f t="shared" si="5"/>
        <v>2491.1428571428573</v>
      </c>
      <c r="Z19" s="211">
        <f t="shared" si="6"/>
        <v>0.5424373379429559</v>
      </c>
      <c r="AA19" s="7">
        <f t="shared" si="17"/>
        <v>1227.5356957649092</v>
      </c>
      <c r="AB19" s="211">
        <f t="shared" si="16"/>
        <v>0.5424373379429559</v>
      </c>
    </row>
    <row r="20" spans="2:28" ht="18.75" customHeight="1" x14ac:dyDescent="0.25">
      <c r="B20" s="19">
        <f t="shared" si="19"/>
        <v>2</v>
      </c>
      <c r="C20" s="17">
        <f t="shared" si="18"/>
        <v>10</v>
      </c>
      <c r="D20" s="18">
        <f>+VLOOKUP(D$7-1+$C20,daily!$D$3:$E$1548,2,0)</f>
        <v>1752</v>
      </c>
      <c r="E20" s="18">
        <f>+VLOOKUP(E$7-1+$C20,daily!$D$3:$E$1548,2,0)</f>
        <v>164</v>
      </c>
      <c r="F20" s="18">
        <f>+VLOOKUP(F$7-1+$C20,daily!$D$3:$E$1548,2,0)</f>
        <v>344</v>
      </c>
      <c r="G20" s="18">
        <f>+VLOOKUP(G$7-1+$C20,daily!$D$3:$E$1548,2,0)</f>
        <v>469</v>
      </c>
      <c r="H20" s="18">
        <f>+VLOOKUP(H$7-1+$C20,daily!$D$3:$E$1548,2,0)</f>
        <v>417</v>
      </c>
      <c r="I20" s="18">
        <f>+VLOOKUP(I$7-1+$C20,daily!$D$3:$E$1548,2,0)</f>
        <v>349</v>
      </c>
      <c r="J20" s="18">
        <f>+VLOOKUP(J$7-1+$C20,daily!$D$3:$E$1548,2,0)</f>
        <v>101</v>
      </c>
      <c r="K20" s="18">
        <f>+VLOOKUP(K$7-1+$C20,daily!$D$3:$E$1548,2,0)</f>
        <v>96</v>
      </c>
      <c r="L20" s="18">
        <f>+VLOOKUP(L$7-1+$C20,daily!$D$3:$E$1548,2,0)</f>
        <v>0</v>
      </c>
      <c r="N20" s="19">
        <f t="shared" si="8"/>
        <v>14</v>
      </c>
      <c r="O20" s="902">
        <f t="shared" si="4"/>
        <v>2510</v>
      </c>
      <c r="P20" s="20"/>
      <c r="Q20" s="902">
        <f t="shared" ref="Q20:V20" si="20">+SUMIFS(F$11:F$136,$B$11:$B$136,$N20)</f>
        <v>3007</v>
      </c>
      <c r="R20" s="902">
        <f t="shared" si="20"/>
        <v>3530</v>
      </c>
      <c r="S20" s="902">
        <f t="shared" si="20"/>
        <v>1921</v>
      </c>
      <c r="T20" s="902">
        <f t="shared" si="20"/>
        <v>1936</v>
      </c>
      <c r="U20" s="902">
        <f t="shared" si="20"/>
        <v>2474</v>
      </c>
      <c r="V20" s="902">
        <f t="shared" si="20"/>
        <v>4035</v>
      </c>
      <c r="W20" s="20"/>
      <c r="X20" s="6">
        <f t="shared" si="5"/>
        <v>2817.1666666666665</v>
      </c>
      <c r="Z20" s="211">
        <f t="shared" si="6"/>
        <v>0.33465859982713914</v>
      </c>
      <c r="AA20" s="7">
        <f t="shared" si="17"/>
        <v>757.33241140881591</v>
      </c>
      <c r="AB20" s="211">
        <f t="shared" si="16"/>
        <v>0.33465859982713914</v>
      </c>
    </row>
    <row r="21" spans="2:28" ht="18.75" customHeight="1" x14ac:dyDescent="0.25">
      <c r="B21" s="19">
        <f t="shared" si="19"/>
        <v>2</v>
      </c>
      <c r="C21" s="17">
        <f t="shared" si="18"/>
        <v>11</v>
      </c>
      <c r="D21" s="18">
        <f>+VLOOKUP(D$7-1+$C21,daily!$D$3:$E$1548,2,0)</f>
        <v>1355</v>
      </c>
      <c r="E21" s="18">
        <f>+VLOOKUP(E$7-1+$C21,daily!$D$3:$E$1548,2,0)</f>
        <v>106</v>
      </c>
      <c r="F21" s="18">
        <f>+VLOOKUP(F$7-1+$C21,daily!$D$3:$E$1548,2,0)</f>
        <v>356</v>
      </c>
      <c r="G21" s="18">
        <f>+VLOOKUP(G$7-1+$C21,daily!$D$3:$E$1548,2,0)</f>
        <v>135</v>
      </c>
      <c r="H21" s="18">
        <f>+VLOOKUP(H$7-1+$C21,daily!$D$3:$E$1548,2,0)</f>
        <v>230</v>
      </c>
      <c r="I21" s="18">
        <f>+VLOOKUP(I$7-1+$C21,daily!$D$3:$E$1548,2,0)</f>
        <v>367</v>
      </c>
      <c r="J21" s="18">
        <f>+VLOOKUP(J$7-1+$C21,daily!$D$3:$E$1548,2,0)</f>
        <v>282</v>
      </c>
      <c r="K21" s="18">
        <f>+VLOOKUP(K$7-1+$C21,daily!$D$3:$E$1548,2,0)</f>
        <v>202</v>
      </c>
      <c r="L21" s="18">
        <f>+VLOOKUP(L$7-1+$C21,daily!$D$3:$E$1548,2,0)</f>
        <v>98</v>
      </c>
      <c r="N21" s="19">
        <f t="shared" si="8"/>
        <v>15</v>
      </c>
      <c r="O21" s="902">
        <f t="shared" si="4"/>
        <v>4033</v>
      </c>
      <c r="P21" s="20"/>
      <c r="Q21" s="902">
        <f>+SUMIFS(F$11:F$136,$B$11:$B$136,$N21)</f>
        <v>2991</v>
      </c>
      <c r="R21" s="902">
        <f>+SUMIFS(G$11:G$136,$B$11:$B$136,$N21)</f>
        <v>1132</v>
      </c>
      <c r="S21" s="902">
        <f>+SUMIFS(H$11:H$136,$B$11:$B$136,$N21)</f>
        <v>1893</v>
      </c>
      <c r="T21" s="20"/>
      <c r="U21" s="20"/>
      <c r="V21" s="20"/>
      <c r="W21" s="20"/>
      <c r="X21" s="20"/>
    </row>
    <row r="22" spans="2:28" ht="18.75" customHeight="1" x14ac:dyDescent="0.25">
      <c r="B22" s="19">
        <f t="shared" si="19"/>
        <v>2</v>
      </c>
      <c r="C22" s="17">
        <f t="shared" si="18"/>
        <v>12</v>
      </c>
      <c r="D22" s="18">
        <f>+VLOOKUP(D$7-1+$C22,daily!$D$3:$E$1548,2,0)</f>
        <v>540</v>
      </c>
      <c r="E22" s="18">
        <f>+VLOOKUP(E$7-1+$C22,daily!$D$3:$E$1548,2,0)</f>
        <v>54</v>
      </c>
      <c r="F22" s="18">
        <f>+VLOOKUP(F$7-1+$C22,daily!$D$3:$E$1548,2,0)</f>
        <v>225</v>
      </c>
      <c r="G22" s="18">
        <f>+VLOOKUP(G$7-1+$C22,daily!$D$3:$E$1548,2,0)</f>
        <v>181</v>
      </c>
      <c r="H22" s="18">
        <f>+VLOOKUP(H$7-1+$C22,daily!$D$3:$E$1548,2,0)</f>
        <v>146</v>
      </c>
      <c r="I22" s="18">
        <f>+VLOOKUP(I$7-1+$C22,daily!$D$3:$E$1548,2,0)</f>
        <v>302</v>
      </c>
      <c r="J22" s="18">
        <f>+VLOOKUP(J$7-1+$C22,daily!$D$3:$E$1548,2,0)</f>
        <v>173</v>
      </c>
      <c r="K22" s="18">
        <f>+VLOOKUP(K$7-1+$C22,daily!$D$3:$E$1548,2,0)</f>
        <v>383</v>
      </c>
      <c r="L22" s="18">
        <f>+VLOOKUP(L$7-1+$C22,daily!$D$3:$E$1548,2,0)</f>
        <v>106</v>
      </c>
      <c r="N22" s="19">
        <f t="shared" si="8"/>
        <v>16</v>
      </c>
      <c r="O22" s="902">
        <f t="shared" si="4"/>
        <v>6178</v>
      </c>
      <c r="P22" s="20"/>
      <c r="Q22" s="20"/>
      <c r="R22" s="20"/>
      <c r="S22" s="20"/>
      <c r="T22" s="20"/>
      <c r="U22" s="20"/>
      <c r="V22" s="20"/>
      <c r="W22" s="20"/>
      <c r="X22" s="20"/>
    </row>
    <row r="23" spans="2:28" ht="18.75" customHeight="1" x14ac:dyDescent="0.25">
      <c r="B23" s="19">
        <f t="shared" si="19"/>
        <v>2</v>
      </c>
      <c r="C23" s="17">
        <f t="shared" si="18"/>
        <v>13</v>
      </c>
      <c r="D23" s="18">
        <f>+VLOOKUP(D$7-1+$C23,daily!$D$3:$E$1548,2,0)</f>
        <v>547</v>
      </c>
      <c r="E23" s="18">
        <f>+VLOOKUP(E$7-1+$C23,daily!$D$3:$E$1548,2,0)</f>
        <v>90</v>
      </c>
      <c r="F23" s="18">
        <f>+VLOOKUP(F$7-1+$C23,daily!$D$3:$E$1548,2,0)</f>
        <v>38</v>
      </c>
      <c r="G23" s="18">
        <f>+VLOOKUP(G$7-1+$C23,daily!$D$3:$E$1548,2,0)</f>
        <v>569</v>
      </c>
      <c r="H23" s="18">
        <f>+VLOOKUP(H$7-1+$C23,daily!$D$3:$E$1548,2,0)</f>
        <v>226</v>
      </c>
      <c r="I23" s="18">
        <f>+VLOOKUP(I$7-1+$C23,daily!$D$3:$E$1548,2,0)</f>
        <v>339</v>
      </c>
      <c r="J23" s="18">
        <f>+VLOOKUP(J$7-1+$C23,daily!$D$3:$E$1548,2,0)</f>
        <v>85</v>
      </c>
      <c r="K23" s="18">
        <f>+VLOOKUP(K$7-1+$C23,daily!$D$3:$E$1548,2,0)</f>
        <v>404</v>
      </c>
      <c r="L23" s="18">
        <f>+VLOOKUP(L$7-1+$C23,daily!$D$3:$E$1548,2,0)</f>
        <v>109</v>
      </c>
      <c r="N23" s="19">
        <f t="shared" si="8"/>
        <v>17</v>
      </c>
      <c r="O23" s="902">
        <f t="shared" si="4"/>
        <v>8602</v>
      </c>
      <c r="P23" s="20"/>
      <c r="Q23" s="20"/>
      <c r="R23" s="20"/>
      <c r="S23" s="20"/>
      <c r="T23" s="20"/>
      <c r="U23" s="20"/>
      <c r="V23" s="20"/>
      <c r="W23" s="20"/>
      <c r="X23" s="20"/>
    </row>
    <row r="24" spans="2:28" ht="18.75" customHeight="1" x14ac:dyDescent="0.25">
      <c r="B24" s="19">
        <f t="shared" si="19"/>
        <v>2</v>
      </c>
      <c r="C24" s="17">
        <f t="shared" si="18"/>
        <v>14</v>
      </c>
      <c r="D24" s="18">
        <f>+VLOOKUP(D$7-1+$C24,daily!$D$3:$E$1548,2,0)</f>
        <v>572</v>
      </c>
      <c r="E24" s="18">
        <f>+VLOOKUP(E$7-1+$C24,daily!$D$3:$E$1548,2,0)</f>
        <v>104</v>
      </c>
      <c r="F24" s="18">
        <f>+VLOOKUP(F$7-1+$C24,daily!$D$3:$E$1548,2,0)</f>
        <v>72</v>
      </c>
      <c r="G24" s="18">
        <f>+VLOOKUP(G$7-1+$C24,daily!$D$3:$E$1548,2,0)</f>
        <v>470</v>
      </c>
      <c r="H24" s="18">
        <f>+VLOOKUP(H$7-1+$C24,daily!$D$3:$E$1548,2,0)</f>
        <v>181</v>
      </c>
      <c r="I24" s="18">
        <f>+VLOOKUP(I$7-1+$C24,daily!$D$3:$E$1548,2,0)</f>
        <v>415</v>
      </c>
      <c r="J24" s="18">
        <f>+VLOOKUP(J$7-1+$C24,daily!$D$3:$E$1548,2,0)</f>
        <v>84</v>
      </c>
      <c r="K24" s="18">
        <f>+VLOOKUP(K$7-1+$C24,daily!$D$3:$E$1548,2,0)</f>
        <v>371</v>
      </c>
      <c r="L24" s="18">
        <f>+VLOOKUP(L$7-1+$C24,daily!$D$3:$E$1548,2,0)</f>
        <v>102</v>
      </c>
      <c r="N24" s="19">
        <f t="shared" si="8"/>
        <v>18</v>
      </c>
      <c r="O24" s="902">
        <f t="shared" si="4"/>
        <v>9607</v>
      </c>
      <c r="P24" s="20"/>
      <c r="Q24" s="20"/>
      <c r="R24" s="20"/>
      <c r="S24" s="20"/>
      <c r="T24" s="20"/>
      <c r="U24" s="20"/>
      <c r="V24" s="20"/>
      <c r="W24" s="20"/>
      <c r="X24" s="20"/>
    </row>
    <row r="25" spans="2:28" ht="18.75" customHeight="1" x14ac:dyDescent="0.25">
      <c r="B25" s="19">
        <f t="shared" si="19"/>
        <v>3</v>
      </c>
      <c r="C25" s="17">
        <f t="shared" si="18"/>
        <v>15</v>
      </c>
      <c r="D25" s="18">
        <f>+VLOOKUP(D$7-1+$C25,daily!$D$3:$E$1548,2,0)</f>
        <v>450</v>
      </c>
      <c r="E25" s="18">
        <f>+VLOOKUP(E$7-1+$C25,daily!$D$3:$E$1548,2,0)</f>
        <v>99</v>
      </c>
      <c r="F25" s="18">
        <f>+VLOOKUP(F$7-1+$C25,daily!$D$3:$E$1548,2,0)</f>
        <v>44</v>
      </c>
      <c r="G25" s="18">
        <f>+VLOOKUP(G$7-1+$C25,daily!$D$3:$E$1548,2,0)</f>
        <v>131</v>
      </c>
      <c r="H25" s="18">
        <f>+VLOOKUP(H$7-1+$C25,daily!$D$3:$E$1548,2,0)</f>
        <v>221</v>
      </c>
      <c r="I25" s="18">
        <f>+VLOOKUP(I$7-1+$C25,daily!$D$3:$E$1548,2,0)</f>
        <v>1098</v>
      </c>
      <c r="J25" s="18">
        <f>+VLOOKUP(J$7-1+$C25,daily!$D$3:$E$1548,2,0)</f>
        <v>111</v>
      </c>
      <c r="K25" s="18">
        <f>+VLOOKUP(K$7-1+$C25,daily!$D$3:$E$1548,2,0)</f>
        <v>126</v>
      </c>
      <c r="L25" s="18">
        <f>+VLOOKUP(L$7-1+$C25,daily!$D$3:$E$1548,2,0)</f>
        <v>413</v>
      </c>
      <c r="N25" s="19">
        <f t="shared" si="8"/>
        <v>19</v>
      </c>
      <c r="O25" s="902">
        <f t="shared" ref="O25:O26" si="21">+SUMIFS(D$11:D$200,$B$11:$B$200,$N25)</f>
        <v>6419</v>
      </c>
      <c r="P25" s="20"/>
      <c r="Q25" s="20"/>
      <c r="R25" s="20"/>
      <c r="S25" s="20"/>
      <c r="T25" s="20"/>
      <c r="U25" s="20"/>
      <c r="V25" s="20"/>
      <c r="W25" s="20"/>
      <c r="X25" s="20"/>
    </row>
    <row r="26" spans="2:28" ht="18.75" customHeight="1" x14ac:dyDescent="0.25">
      <c r="B26" s="19">
        <f t="shared" si="19"/>
        <v>3</v>
      </c>
      <c r="C26" s="17">
        <f t="shared" si="18"/>
        <v>16</v>
      </c>
      <c r="D26" s="18">
        <f>+VLOOKUP(D$7-1+$C26,daily!$D$3:$E$1548,2,0)</f>
        <v>676</v>
      </c>
      <c r="E26" s="18">
        <f>+VLOOKUP(E$7-1+$C26,daily!$D$3:$E$1548,2,0)</f>
        <v>281</v>
      </c>
      <c r="F26" s="18">
        <f>+VLOOKUP(F$7-1+$C26,daily!$D$3:$E$1548,2,0)</f>
        <v>82</v>
      </c>
      <c r="G26" s="18">
        <f>+VLOOKUP(G$7-1+$C26,daily!$D$3:$E$1548,2,0)</f>
        <v>137</v>
      </c>
      <c r="H26" s="18">
        <f>+VLOOKUP(H$7-1+$C26,daily!$D$3:$E$1548,2,0)</f>
        <v>453</v>
      </c>
      <c r="I26" s="18">
        <f>+VLOOKUP(I$7-1+$C26,daily!$D$3:$E$1548,2,0)</f>
        <v>959</v>
      </c>
      <c r="J26" s="18">
        <f>+VLOOKUP(J$7-1+$C26,daily!$D$3:$E$1548,2,0)</f>
        <v>107</v>
      </c>
      <c r="K26" s="18">
        <f>+VLOOKUP(K$7-1+$C26,daily!$D$3:$E$1548,2,0)</f>
        <v>99</v>
      </c>
      <c r="L26" s="18">
        <f>+VLOOKUP(L$7-1+$C26,daily!$D$3:$E$1548,2,0)</f>
        <v>282</v>
      </c>
      <c r="N26" s="19">
        <f t="shared" si="8"/>
        <v>20</v>
      </c>
      <c r="O26" s="902">
        <f t="shared" si="21"/>
        <v>6813</v>
      </c>
      <c r="P26" s="20"/>
      <c r="Q26" s="20"/>
      <c r="R26" s="20"/>
      <c r="S26" s="20"/>
      <c r="T26" s="20"/>
      <c r="U26" s="20"/>
      <c r="V26" s="20"/>
      <c r="W26" s="20"/>
      <c r="X26" s="20"/>
    </row>
    <row r="27" spans="2:28" ht="18.75" customHeight="1" x14ac:dyDescent="0.25">
      <c r="B27" s="19">
        <f t="shared" si="19"/>
        <v>3</v>
      </c>
      <c r="C27" s="17">
        <f t="shared" si="18"/>
        <v>17</v>
      </c>
      <c r="D27" s="18">
        <f>+VLOOKUP(D$7-1+$C27,daily!$D$3:$E$1548,2,0)</f>
        <v>1741</v>
      </c>
      <c r="E27" s="18">
        <f>+VLOOKUP(E$7-1+$C27,daily!$D$3:$E$1548,2,0)</f>
        <v>236</v>
      </c>
      <c r="F27" s="18">
        <f>+VLOOKUP(F$7-1+$C27,daily!$D$3:$E$1548,2,0)</f>
        <v>331</v>
      </c>
      <c r="G27" s="18">
        <f>+VLOOKUP(G$7-1+$C27,daily!$D$3:$E$1548,2,0)</f>
        <v>174</v>
      </c>
      <c r="H27" s="18">
        <f>+VLOOKUP(H$7-1+$C27,daily!$D$3:$E$1548,2,0)</f>
        <v>438</v>
      </c>
      <c r="I27" s="18">
        <f>+VLOOKUP(I$7-1+$C27,daily!$D$3:$E$1548,2,0)</f>
        <v>395</v>
      </c>
      <c r="J27" s="18">
        <f>+VLOOKUP(J$7-1+$C27,daily!$D$3:$E$1548,2,0)</f>
        <v>134</v>
      </c>
      <c r="K27" s="18">
        <f>+VLOOKUP(K$7-1+$C27,daily!$D$3:$E$1548,2,0)</f>
        <v>236</v>
      </c>
      <c r="L27" s="18">
        <f>+VLOOKUP(L$7-1+$C27,daily!$D$3:$E$1548,2,0)</f>
        <v>114</v>
      </c>
      <c r="N27"/>
      <c r="O27"/>
      <c r="P27"/>
      <c r="Q27"/>
      <c r="R27"/>
      <c r="S27"/>
      <c r="T27"/>
      <c r="U27"/>
      <c r="V27"/>
      <c r="W27"/>
      <c r="X27"/>
    </row>
    <row r="28" spans="2:28" ht="18.75" customHeight="1" x14ac:dyDescent="0.25">
      <c r="B28" s="19">
        <f t="shared" si="19"/>
        <v>3</v>
      </c>
      <c r="C28" s="17">
        <f t="shared" si="18"/>
        <v>18</v>
      </c>
      <c r="D28" s="18">
        <f>+VLOOKUP(D$7-1+$C28,daily!$D$3:$E$1548,2,0)</f>
        <v>1210</v>
      </c>
      <c r="E28" s="18">
        <f>+VLOOKUP(E$7-1+$C28,daily!$D$3:$E$1548,2,0)</f>
        <v>105</v>
      </c>
      <c r="F28" s="18">
        <f>+VLOOKUP(F$7-1+$C28,daily!$D$3:$E$1548,2,0)</f>
        <v>265</v>
      </c>
      <c r="G28" s="18">
        <f>+VLOOKUP(G$7-1+$C28,daily!$D$3:$E$1548,2,0)</f>
        <v>119</v>
      </c>
      <c r="H28" s="18">
        <f>+VLOOKUP(H$7-1+$C28,daily!$D$3:$E$1548,2,0)</f>
        <v>474</v>
      </c>
      <c r="I28" s="18">
        <f>+VLOOKUP(I$7-1+$C28,daily!$D$3:$E$1548,2,0)</f>
        <v>350</v>
      </c>
      <c r="J28" s="18">
        <f>+VLOOKUP(J$7-1+$C28,daily!$D$3:$E$1548,2,0)</f>
        <v>213</v>
      </c>
      <c r="K28" s="18">
        <f>+VLOOKUP(K$7-1+$C28,daily!$D$3:$E$1548,2,0)</f>
        <v>189</v>
      </c>
      <c r="L28" s="18">
        <f>+VLOOKUP(L$7-1+$C28,daily!$D$3:$E$1548,2,0)</f>
        <v>109</v>
      </c>
      <c r="N28"/>
      <c r="O28"/>
      <c r="P28"/>
      <c r="Q28"/>
      <c r="R28"/>
      <c r="S28"/>
      <c r="T28"/>
      <c r="U28"/>
      <c r="V28"/>
      <c r="W28"/>
      <c r="X28"/>
    </row>
    <row r="29" spans="2:28" ht="18.75" customHeight="1" x14ac:dyDescent="0.25">
      <c r="B29" s="19">
        <f t="shared" si="19"/>
        <v>3</v>
      </c>
      <c r="C29" s="17">
        <f t="shared" si="18"/>
        <v>19</v>
      </c>
      <c r="D29" s="18">
        <f>+VLOOKUP(D$7-1+$C29,daily!$D$3:$E$1548,2,0)</f>
        <v>649</v>
      </c>
      <c r="E29" s="18">
        <f>+VLOOKUP(E$7-1+$C29,daily!$D$3:$E$1548,2,0)</f>
        <v>93</v>
      </c>
      <c r="F29" s="18">
        <f>+VLOOKUP(F$7-1+$C29,daily!$D$3:$E$1548,2,0)</f>
        <v>0</v>
      </c>
      <c r="G29" s="18">
        <f>+VLOOKUP(G$7-1+$C29,daily!$D$3:$E$1548,2,0)</f>
        <v>230</v>
      </c>
      <c r="H29" s="18">
        <f>+VLOOKUP(H$7-1+$C29,daily!$D$3:$E$1548,2,0)</f>
        <v>215</v>
      </c>
      <c r="I29" s="18">
        <f>+VLOOKUP(I$7-1+$C29,daily!$D$3:$E$1548,2,0)</f>
        <v>424</v>
      </c>
      <c r="J29" s="18">
        <f>+VLOOKUP(J$7-1+$C29,daily!$D$3:$E$1548,2,0)</f>
        <v>184</v>
      </c>
      <c r="K29" s="18">
        <f>+VLOOKUP(K$7-1+$C29,daily!$D$3:$E$1548,2,0)</f>
        <v>567</v>
      </c>
      <c r="L29" s="18">
        <f>+VLOOKUP(L$7-1+$C29,daily!$D$3:$E$1548,2,0)</f>
        <v>125</v>
      </c>
      <c r="N29"/>
      <c r="O29"/>
      <c r="P29"/>
      <c r="Q29"/>
      <c r="R29"/>
      <c r="S29"/>
      <c r="T29"/>
      <c r="U29"/>
      <c r="V29"/>
      <c r="W29"/>
      <c r="X29"/>
    </row>
    <row r="30" spans="2:28" ht="18.75" customHeight="1" x14ac:dyDescent="0.25">
      <c r="B30" s="19">
        <f t="shared" si="19"/>
        <v>3</v>
      </c>
      <c r="C30" s="17">
        <f t="shared" si="18"/>
        <v>20</v>
      </c>
      <c r="D30" s="18">
        <f>+VLOOKUP(D$7-1+$C30,daily!$D$3:$E$1548,2,0)</f>
        <v>491</v>
      </c>
      <c r="E30" s="18">
        <f>+VLOOKUP(E$7-1+$C30,daily!$D$3:$E$1548,2,0)</f>
        <v>217</v>
      </c>
      <c r="F30" s="18">
        <f>+VLOOKUP(F$7-1+$C30,daily!$D$3:$E$1548,2,0)</f>
        <v>60</v>
      </c>
      <c r="G30" s="18">
        <f>+VLOOKUP(G$7-1+$C30,daily!$D$3:$E$1548,2,0)</f>
        <v>661</v>
      </c>
      <c r="H30" s="18">
        <f>+VLOOKUP(H$7-1+$C30,daily!$D$3:$E$1548,2,0)</f>
        <v>155</v>
      </c>
      <c r="I30" s="18">
        <f>+VLOOKUP(I$7-1+$C30,daily!$D$3:$E$1548,2,0)</f>
        <v>407</v>
      </c>
      <c r="J30" s="18">
        <f>+VLOOKUP(J$7-1+$C30,daily!$D$3:$E$1548,2,0)</f>
        <v>59</v>
      </c>
      <c r="K30" s="18">
        <f>+VLOOKUP(K$7-1+$C30,daily!$D$3:$E$1548,2,0)</f>
        <v>341</v>
      </c>
      <c r="L30" s="18">
        <f>+VLOOKUP(L$7-1+$C30,daily!$D$3:$E$1548,2,0)</f>
        <v>86</v>
      </c>
      <c r="O30" s="187" t="s">
        <v>3</v>
      </c>
      <c r="P30" s="187" t="s">
        <v>5</v>
      </c>
      <c r="Q30" s="187" t="s">
        <v>4</v>
      </c>
      <c r="R30" s="187" t="s">
        <v>10</v>
      </c>
      <c r="S30" s="187" t="s">
        <v>11</v>
      </c>
      <c r="T30" s="187" t="s">
        <v>12</v>
      </c>
      <c r="U30" s="187" t="s">
        <v>13</v>
      </c>
      <c r="V30" s="187" t="s">
        <v>14</v>
      </c>
      <c r="W30" s="187" t="s">
        <v>15</v>
      </c>
    </row>
    <row r="31" spans="2:28" ht="18.75" customHeight="1" x14ac:dyDescent="0.25">
      <c r="B31" s="19">
        <f t="shared" si="19"/>
        <v>3</v>
      </c>
      <c r="C31" s="17">
        <f t="shared" si="18"/>
        <v>21</v>
      </c>
      <c r="D31" s="18">
        <f>+VLOOKUP(D$7-1+$C31,daily!$D$3:$E$1548,2,0)</f>
        <v>694</v>
      </c>
      <c r="E31" s="18">
        <f>+VLOOKUP(E$7-1+$C31,daily!$D$3:$E$1548,2,0)</f>
        <v>121</v>
      </c>
      <c r="F31" s="18">
        <f>+VLOOKUP(F$7-1+$C31,daily!$D$3:$E$1548,2,0)</f>
        <v>65</v>
      </c>
      <c r="G31" s="18">
        <f>+VLOOKUP(G$7-1+$C31,daily!$D$3:$E$1548,2,0)</f>
        <v>559</v>
      </c>
      <c r="H31" s="18">
        <f>+VLOOKUP(H$7-1+$C31,daily!$D$3:$E$1548,2,0)</f>
        <v>183</v>
      </c>
      <c r="I31" s="18">
        <f>+VLOOKUP(I$7-1+$C31,daily!$D$3:$E$1548,2,0)</f>
        <v>462</v>
      </c>
      <c r="J31" s="18">
        <f>+VLOOKUP(J$7-1+$C31,daily!$D$3:$E$1548,2,0)</f>
        <v>100</v>
      </c>
      <c r="K31" s="18">
        <f>+VLOOKUP(K$7-1+$C31,daily!$D$3:$E$1548,2,0)</f>
        <v>0</v>
      </c>
      <c r="L31" s="18">
        <f>+VLOOKUP(L$7-1+$C31,daily!$D$3:$E$1548,2,0)</f>
        <v>154</v>
      </c>
      <c r="N31" s="2" t="s">
        <v>74</v>
      </c>
      <c r="O31" s="3">
        <f t="shared" ref="O31:W31" si="22">+D7</f>
        <v>44112</v>
      </c>
      <c r="P31" s="3">
        <f t="shared" si="22"/>
        <v>44302</v>
      </c>
      <c r="Q31" s="3">
        <f t="shared" si="22"/>
        <v>44469</v>
      </c>
      <c r="R31" s="3">
        <f t="shared" si="22"/>
        <v>44620</v>
      </c>
      <c r="S31" s="3">
        <f t="shared" si="22"/>
        <v>44771</v>
      </c>
      <c r="T31" s="3">
        <f t="shared" si="22"/>
        <v>44919</v>
      </c>
      <c r="U31" s="3">
        <f t="shared" si="22"/>
        <v>45049</v>
      </c>
      <c r="V31" s="3">
        <f t="shared" si="22"/>
        <v>45195</v>
      </c>
      <c r="W31" s="3">
        <f t="shared" si="22"/>
        <v>45346</v>
      </c>
    </row>
    <row r="32" spans="2:28" ht="18.75" customHeight="1" x14ac:dyDescent="0.25">
      <c r="B32" s="19">
        <f t="shared" si="19"/>
        <v>4</v>
      </c>
      <c r="C32" s="17">
        <f t="shared" si="18"/>
        <v>22</v>
      </c>
      <c r="D32" s="18">
        <f>+VLOOKUP(D$7-1+$C32,daily!$D$3:$E$1548,2,0)</f>
        <v>558</v>
      </c>
      <c r="E32" s="18">
        <f>+VLOOKUP(E$7-1+$C32,daily!$D$3:$E$1548,2,0)</f>
        <v>76</v>
      </c>
      <c r="F32" s="18">
        <f>+VLOOKUP(F$7-1+$C32,daily!$D$3:$E$1548,2,0)</f>
        <v>64</v>
      </c>
      <c r="G32" s="18">
        <f>+VLOOKUP(G$7-1+$C32,daily!$D$3:$E$1548,2,0)</f>
        <v>202</v>
      </c>
      <c r="H32" s="18">
        <f>+VLOOKUP(H$7-1+$C32,daily!$D$3:$E$1548,2,0)</f>
        <v>226</v>
      </c>
      <c r="I32" s="18">
        <f>+VLOOKUP(I$7-1+$C32,daily!$D$3:$E$1548,2,0)</f>
        <v>1337</v>
      </c>
      <c r="J32" s="18">
        <f>+VLOOKUP(J$7-1+$C32,daily!$D$3:$E$1548,2,0)</f>
        <v>73</v>
      </c>
      <c r="K32" s="18">
        <f>+VLOOKUP(K$7-1+$C32,daily!$D$3:$E$1548,2,0)</f>
        <v>114</v>
      </c>
      <c r="L32" s="18">
        <f>+VLOOKUP(L$7-1+$C32,daily!$D$3:$E$1548,2,0)</f>
        <v>358</v>
      </c>
      <c r="N32" s="2" t="s">
        <v>73</v>
      </c>
      <c r="O32" s="3">
        <f>+O31+$Q$5-1</f>
        <v>44156</v>
      </c>
      <c r="P32" s="3">
        <f t="shared" ref="P32:W32" si="23">+P31+$Q$5-1</f>
        <v>44346</v>
      </c>
      <c r="Q32" s="3">
        <f t="shared" si="23"/>
        <v>44513</v>
      </c>
      <c r="R32" s="3">
        <f t="shared" si="23"/>
        <v>44664</v>
      </c>
      <c r="S32" s="3">
        <f t="shared" si="23"/>
        <v>44815</v>
      </c>
      <c r="T32" s="3">
        <f t="shared" si="23"/>
        <v>44963</v>
      </c>
      <c r="U32" s="3">
        <f t="shared" si="23"/>
        <v>45093</v>
      </c>
      <c r="V32" s="3">
        <f t="shared" si="23"/>
        <v>45239</v>
      </c>
      <c r="W32" s="3">
        <f t="shared" si="23"/>
        <v>45390</v>
      </c>
    </row>
    <row r="33" spans="2:23" ht="18.75" customHeight="1" x14ac:dyDescent="0.25">
      <c r="B33" s="19">
        <f t="shared" si="19"/>
        <v>4</v>
      </c>
      <c r="C33" s="17">
        <f t="shared" si="18"/>
        <v>23</v>
      </c>
      <c r="D33" s="18">
        <f>+VLOOKUP(D$7-1+$C33,daily!$D$3:$E$1548,2,0)</f>
        <v>765</v>
      </c>
      <c r="E33" s="18">
        <f>+VLOOKUP(E$7-1+$C33,daily!$D$3:$E$1548,2,0)</f>
        <v>283</v>
      </c>
      <c r="F33" s="18">
        <f>+VLOOKUP(F$7-1+$C33,daily!$D$3:$E$1548,2,0)</f>
        <v>110</v>
      </c>
      <c r="G33" s="18">
        <f>+VLOOKUP(G$7-1+$C33,daily!$D$3:$E$1548,2,0)</f>
        <v>184</v>
      </c>
      <c r="H33" s="18">
        <f>+VLOOKUP(H$7-1+$C33,daily!$D$3:$E$1548,2,0)</f>
        <v>507</v>
      </c>
      <c r="I33" s="18">
        <f>+VLOOKUP(I$7-1+$C33,daily!$D$3:$E$1548,2,0)</f>
        <v>928</v>
      </c>
      <c r="J33" s="18">
        <f>+VLOOKUP(J$7-1+$C33,daily!$D$3:$E$1548,2,0)</f>
        <v>97</v>
      </c>
      <c r="K33" s="18">
        <f>+VLOOKUP(K$7-1+$C33,daily!$D$3:$E$1548,2,0)</f>
        <v>129</v>
      </c>
      <c r="L33" s="18">
        <f>+VLOOKUP(L$7-1+$C33,daily!$D$3:$E$1548,2,0)</f>
        <v>298</v>
      </c>
      <c r="N33" s="2" t="s">
        <v>76</v>
      </c>
      <c r="O33" s="134">
        <f>+COUNTIFS(daily!$F$3:$F$1548,O$30,daily!$D$3:$D$1548,"&gt;="&amp;O$31,daily!$D$3:$D$1548,"&lt;="&amp;O$32,daily!$K$3:$K$1548,$N33)</f>
        <v>32</v>
      </c>
      <c r="P33" s="134">
        <f>+COUNTIFS(daily!$F$3:$F$1548,P$30,daily!$D$3:$D$1548,"&gt;="&amp;P$31,daily!$D$3:$D$1548,"&lt;="&amp;P$32,daily!$K$3:$K$1548,$N33)</f>
        <v>31</v>
      </c>
      <c r="Q33" s="134">
        <f>+COUNTIFS(daily!$F$3:$F$1548,Q$30,daily!$D$3:$D$1548,"&gt;="&amp;Q$31,daily!$D$3:$D$1548,"&lt;="&amp;Q$32,daily!$K$3:$K$1548,$N33)</f>
        <v>32</v>
      </c>
      <c r="R33" s="134">
        <f>+COUNTIFS(daily!$F$3:$F$1548,R$30,daily!$D$3:$D$1548,"&gt;="&amp;R$31,daily!$D$3:$D$1548,"&lt;="&amp;R$32,daily!$K$3:$K$1548,$N33)</f>
        <v>33</v>
      </c>
      <c r="S33" s="134">
        <f>+COUNTIFS(daily!$F$3:$F$1548,S$30,daily!$D$3:$D$1548,"&gt;="&amp;S$31,daily!$D$3:$D$1548,"&lt;="&amp;S$32,daily!$K$3:$K$1548,$N33)</f>
        <v>31</v>
      </c>
      <c r="T33" s="134">
        <f>+COUNTIFS(daily!$F$3:$F$1548,T$30,daily!$D$3:$D$1548,"&gt;="&amp;T$31,daily!$D$3:$D$1548,"&lt;="&amp;T$32,daily!$K$3:$K$1548,$N33)</f>
        <v>31</v>
      </c>
      <c r="U33" s="134">
        <f>+COUNTIFS(daily!$F$3:$F$1548,U$30,daily!$D$3:$D$1548,"&gt;="&amp;U$31,daily!$D$3:$D$1548,"&lt;="&amp;U$32,daily!$K$3:$K$1548,$N33)</f>
        <v>33</v>
      </c>
      <c r="V33" s="134">
        <f>+COUNTIFS(daily!$F$3:$F$1548,V$30,daily!$D$3:$D$1548,"&gt;="&amp;V$31,daily!$D$3:$D$1548,"&lt;="&amp;V$32,daily!$K$3:$K$1548,$N33)</f>
        <v>33</v>
      </c>
      <c r="W33" s="134">
        <f>+COUNTIFS(daily!$F$3:$F$1548,W$30,daily!$D$3:$D$1548,"&gt;="&amp;W$31,daily!$D$3:$D$1548,"&lt;="&amp;W$32,daily!$K$3:$K$1548,$N33)</f>
        <v>31</v>
      </c>
    </row>
    <row r="34" spans="2:23" ht="18.75" customHeight="1" x14ac:dyDescent="0.25">
      <c r="B34" s="19">
        <f t="shared" si="19"/>
        <v>4</v>
      </c>
      <c r="C34" s="17">
        <f t="shared" si="18"/>
        <v>24</v>
      </c>
      <c r="D34" s="18">
        <f>+VLOOKUP(D$7-1+$C34,daily!$D$3:$E$1548,2,0)</f>
        <v>1617</v>
      </c>
      <c r="E34" s="18">
        <f>+VLOOKUP(E$7-1+$C34,daily!$D$3:$E$1548,2,0)</f>
        <v>229</v>
      </c>
      <c r="F34" s="18">
        <f>+VLOOKUP(F$7-1+$C34,daily!$D$3:$E$1548,2,0)</f>
        <v>320</v>
      </c>
      <c r="G34" s="18">
        <f>+VLOOKUP(G$7-1+$C34,daily!$D$3:$E$1548,2,0)</f>
        <v>128</v>
      </c>
      <c r="H34" s="18">
        <f>+VLOOKUP(H$7-1+$C34,daily!$D$3:$E$1548,2,0)</f>
        <v>395</v>
      </c>
      <c r="I34" s="18">
        <f>+VLOOKUP(I$7-1+$C34,daily!$D$3:$E$1548,2,0)</f>
        <v>420</v>
      </c>
      <c r="J34" s="18">
        <f>+VLOOKUP(J$7-1+$C34,daily!$D$3:$E$1548,2,0)</f>
        <v>112</v>
      </c>
      <c r="K34" s="18">
        <f>+VLOOKUP(K$7-1+$C34,daily!$D$3:$E$1548,2,0)</f>
        <v>159</v>
      </c>
      <c r="L34" s="18">
        <f>+VLOOKUP(L$7-1+$C34,daily!$D$3:$E$1548,2,0)</f>
        <v>101</v>
      </c>
      <c r="N34" s="2" t="s">
        <v>77</v>
      </c>
      <c r="O34" s="134">
        <f>+COUNTIFS(daily!$F$3:$F$1548,O$30,daily!$D$3:$D$1548,"&gt;="&amp;O$31,daily!$D$3:$D$1548,"&lt;="&amp;O$32,daily!$K$3:$K$1548,$N34)</f>
        <v>13</v>
      </c>
      <c r="P34" s="134">
        <f>+COUNTIFS(daily!$F$3:$F$1548,P$30,daily!$D$3:$D$1548,"&gt;="&amp;P$31,daily!$D$3:$D$1548,"&lt;="&amp;P$32,daily!$K$3:$K$1548,$N34)</f>
        <v>14</v>
      </c>
      <c r="Q34" s="134">
        <f>+COUNTIFS(daily!$F$3:$F$1548,Q$30,daily!$D$3:$D$1548,"&gt;="&amp;Q$31,daily!$D$3:$D$1548,"&lt;="&amp;Q$32,daily!$K$3:$K$1548,$N34)</f>
        <v>13</v>
      </c>
      <c r="R34" s="134">
        <f>+COUNTIFS(daily!$F$3:$F$1548,R$30,daily!$D$3:$D$1548,"&gt;="&amp;R$31,daily!$D$3:$D$1548,"&lt;="&amp;R$32,daily!$K$3:$K$1548,$N34)</f>
        <v>12</v>
      </c>
      <c r="S34" s="134">
        <f>+COUNTIFS(daily!$F$3:$F$1548,S$30,daily!$D$3:$D$1548,"&gt;="&amp;S$31,daily!$D$3:$D$1548,"&lt;="&amp;S$32,daily!$K$3:$K$1548,$N34)</f>
        <v>14</v>
      </c>
      <c r="T34" s="134">
        <f>+COUNTIFS(daily!$F$3:$F$1548,T$30,daily!$D$3:$D$1548,"&gt;="&amp;T$31,daily!$D$3:$D$1548,"&lt;="&amp;T$32,daily!$K$3:$K$1548,$N34)</f>
        <v>14</v>
      </c>
      <c r="U34" s="134">
        <f>+COUNTIFS(daily!$F$3:$F$1548,U$30,daily!$D$3:$D$1548,"&gt;="&amp;U$31,daily!$D$3:$D$1548,"&lt;="&amp;U$32,daily!$K$3:$K$1548,$N34)</f>
        <v>12</v>
      </c>
      <c r="V34" s="134">
        <f>+COUNTIFS(daily!$F$3:$F$1548,V$30,daily!$D$3:$D$1548,"&gt;="&amp;V$31,daily!$D$3:$D$1548,"&lt;="&amp;V$32,daily!$K$3:$K$1548,$N34)</f>
        <v>12</v>
      </c>
      <c r="W34" s="134">
        <f>+COUNTIFS(daily!$F$3:$F$1548,W$30,daily!$D$3:$D$1548,"&gt;="&amp;W$31,daily!$D$3:$D$1548,"&lt;="&amp;W$32,daily!$K$3:$K$1548,$N34)</f>
        <v>14</v>
      </c>
    </row>
    <row r="35" spans="2:23" ht="18.75" customHeight="1" x14ac:dyDescent="0.25">
      <c r="B35" s="19">
        <f t="shared" si="19"/>
        <v>4</v>
      </c>
      <c r="C35" s="17">
        <f t="shared" si="18"/>
        <v>25</v>
      </c>
      <c r="D35" s="18">
        <f>+VLOOKUP(D$7-1+$C35,daily!$D$3:$E$1548,2,0)</f>
        <v>1241</v>
      </c>
      <c r="E35" s="18">
        <f>+VLOOKUP(E$7-1+$C35,daily!$D$3:$E$1548,2,0)</f>
        <v>80</v>
      </c>
      <c r="F35" s="18">
        <f>+VLOOKUP(F$7-1+$C35,daily!$D$3:$E$1548,2,0)</f>
        <v>280</v>
      </c>
      <c r="G35" s="18">
        <f>+VLOOKUP(G$7-1+$C35,daily!$D$3:$E$1548,2,0)</f>
        <v>160</v>
      </c>
      <c r="H35" s="18">
        <f>+VLOOKUP(H$7-1+$C35,daily!$D$3:$E$1548,2,0)</f>
        <v>30</v>
      </c>
      <c r="I35" s="18">
        <f>+VLOOKUP(I$7-1+$C35,daily!$D$3:$E$1548,2,0)</f>
        <v>382</v>
      </c>
      <c r="J35" s="18">
        <f>+VLOOKUP(J$7-1+$C35,daily!$D$3:$E$1548,2,0)</f>
        <v>266</v>
      </c>
      <c r="K35" s="18">
        <f>+VLOOKUP(K$7-1+$C35,daily!$D$3:$E$1548,2,0)</f>
        <v>203</v>
      </c>
      <c r="L35" s="18">
        <f>+VLOOKUP(L$7-1+$C35,daily!$D$3:$E$1548,2,0)</f>
        <v>116</v>
      </c>
      <c r="N35" s="135" t="s">
        <v>76</v>
      </c>
      <c r="O35" s="136">
        <f>+SUMIFS(daily!$E$3:$E$1548,daily!$F$3:$F$1548,O$30,daily!$D$3:$D$1548,"&gt;="&amp;O$31,daily!$D$3:$D$1548,"&lt;="&amp;O$32,daily!$K$3:$K$1548,$N35)</f>
        <v>21452</v>
      </c>
      <c r="P35" s="136">
        <f>+SUMIFS(daily!$E$3:$E$1548,daily!$F$3:$F$1548,P$30,daily!$D$3:$D$1548,"&gt;="&amp;P$31,daily!$D$3:$D$1548,"&lt;="&amp;P$32,daily!$K$3:$K$1548,$N35)</f>
        <v>2907</v>
      </c>
      <c r="Q35" s="136">
        <f>+SUMIFS(daily!$E$3:$E$1548,daily!$F$3:$F$1548,Q$30,daily!$D$3:$D$1548,"&gt;="&amp;Q$31,daily!$D$3:$D$1548,"&lt;="&amp;Q$32,daily!$K$3:$K$1548,$N35)</f>
        <v>2934</v>
      </c>
      <c r="R35" s="136">
        <f>+SUMIFS(daily!$E$3:$E$1548,daily!$F$3:$F$1548,R$30,daily!$D$3:$D$1548,"&gt;="&amp;R$31,daily!$D$3:$D$1548,"&lt;="&amp;R$32,daily!$K$3:$K$1548,$N35)</f>
        <v>6633</v>
      </c>
      <c r="S35" s="136">
        <f>+SUMIFS(daily!$E$3:$E$1548,daily!$F$3:$F$1548,S$30,daily!$D$3:$D$1548,"&gt;="&amp;S$31,daily!$D$3:$D$1548,"&lt;="&amp;S$32,daily!$K$3:$K$1548,$N35)</f>
        <v>6240</v>
      </c>
      <c r="T35" s="136">
        <f>+SUMIFS(daily!$E$3:$E$1548,daily!$F$3:$F$1548,T$30,daily!$D$3:$D$1548,"&gt;="&amp;T$31,daily!$D$3:$D$1548,"&lt;="&amp;T$32,daily!$K$3:$K$1548,$N35)</f>
        <v>14138</v>
      </c>
      <c r="U35" s="136">
        <f>+SUMIFS(daily!$E$3:$E$1548,daily!$F$3:$F$1548,U$30,daily!$D$3:$D$1548,"&gt;="&amp;U$31,daily!$D$3:$D$1548,"&lt;="&amp;U$32,daily!$K$3:$K$1548,$N35)</f>
        <v>3441</v>
      </c>
      <c r="V35" s="136">
        <f>+SUMIFS(daily!$E$3:$E$1548,daily!$F$3:$F$1548,V$30,daily!$D$3:$D$1548,"&gt;="&amp;V$31,daily!$D$3:$D$1548,"&lt;="&amp;V$32,daily!$K$3:$K$1548,$N35)</f>
        <v>5165</v>
      </c>
      <c r="W35" s="136">
        <f>+SUMIFS(daily!$E$3:$E$1548,daily!$F$3:$F$1548,W$30,daily!$D$3:$D$1548,"&gt;="&amp;W$31,daily!$D$3:$D$1548,"&lt;="&amp;W$32,daily!$K$3:$K$1548,$N35)</f>
        <v>4427</v>
      </c>
    </row>
    <row r="36" spans="2:23" ht="18.75" customHeight="1" x14ac:dyDescent="0.25">
      <c r="B36" s="19">
        <f t="shared" si="19"/>
        <v>4</v>
      </c>
      <c r="C36" s="17">
        <f t="shared" si="18"/>
        <v>26</v>
      </c>
      <c r="D36" s="18">
        <f>+VLOOKUP(D$7-1+$C36,daily!$D$3:$E$1548,2,0)</f>
        <v>480</v>
      </c>
      <c r="E36" s="18">
        <f>+VLOOKUP(E$7-1+$C36,daily!$D$3:$E$1548,2,0)</f>
        <v>56</v>
      </c>
      <c r="F36" s="18">
        <f>+VLOOKUP(F$7-1+$C36,daily!$D$3:$E$1548,2,0)</f>
        <v>78</v>
      </c>
      <c r="G36" s="18">
        <f>+VLOOKUP(G$7-1+$C36,daily!$D$3:$E$1548,2,0)</f>
        <v>203</v>
      </c>
      <c r="H36" s="18">
        <f>+VLOOKUP(H$7-1+$C36,daily!$D$3:$E$1548,2,0)</f>
        <v>210</v>
      </c>
      <c r="I36" s="18">
        <f>+VLOOKUP(I$7-1+$C36,daily!$D$3:$E$1548,2,0)</f>
        <v>365</v>
      </c>
      <c r="J36" s="18">
        <f>+VLOOKUP(J$7-1+$C36,daily!$D$3:$E$1548,2,0)</f>
        <v>204</v>
      </c>
      <c r="K36" s="18">
        <f>+VLOOKUP(K$7-1+$C36,daily!$D$3:$E$1548,2,0)</f>
        <v>525</v>
      </c>
      <c r="L36" s="18">
        <f>+VLOOKUP(L$7-1+$C36,daily!$D$3:$E$1548,2,0)</f>
        <v>176</v>
      </c>
      <c r="N36" s="135" t="s">
        <v>77</v>
      </c>
      <c r="O36" s="136">
        <f>+SUMIFS(daily!$E$3:$E$1548,daily!$F$3:$F$1548,O$30,daily!$D$3:$D$1548,"&gt;="&amp;O$31,daily!$D$3:$D$1548,"&lt;="&amp;O$32,daily!$K$3:$K$1548,$N36)</f>
        <v>19249</v>
      </c>
      <c r="P36" s="136">
        <f>+SUMIFS(daily!$E$3:$E$1548,daily!$F$3:$F$1548,P$30,daily!$D$3:$D$1548,"&gt;="&amp;P$31,daily!$D$3:$D$1548,"&lt;="&amp;P$32,daily!$K$3:$K$1548,$N36)</f>
        <v>3414</v>
      </c>
      <c r="Q36" s="136">
        <f>+SUMIFS(daily!$E$3:$E$1548,daily!$F$3:$F$1548,Q$30,daily!$D$3:$D$1548,"&gt;="&amp;Q$31,daily!$D$3:$D$1548,"&lt;="&amp;Q$32,daily!$K$3:$K$1548,$N36)</f>
        <v>4190</v>
      </c>
      <c r="R36" s="136">
        <f>+SUMIFS(daily!$E$3:$E$1548,daily!$F$3:$F$1548,R$30,daily!$D$3:$D$1548,"&gt;="&amp;R$31,daily!$D$3:$D$1548,"&lt;="&amp;R$32,daily!$K$3:$K$1548,$N36)</f>
        <v>6743</v>
      </c>
      <c r="S36" s="136">
        <f>+SUMIFS(daily!$E$3:$E$1548,daily!$F$3:$F$1548,S$30,daily!$D$3:$D$1548,"&gt;="&amp;S$31,daily!$D$3:$D$1548,"&lt;="&amp;S$32,daily!$K$3:$K$1548,$N36)</f>
        <v>5612</v>
      </c>
      <c r="T36" s="136">
        <f>+SUMIFS(daily!$E$3:$E$1548,daily!$F$3:$F$1548,T$30,daily!$D$3:$D$1548,"&gt;="&amp;T$31,daily!$D$3:$D$1548,"&lt;="&amp;T$32,daily!$K$3:$K$1548,$N36)</f>
        <v>11489</v>
      </c>
      <c r="U36" s="136">
        <f>+SUMIFS(daily!$E$3:$E$1548,daily!$F$3:$F$1548,U$30,daily!$D$3:$D$1548,"&gt;="&amp;U$31,daily!$D$3:$D$1548,"&lt;="&amp;U$32,daily!$K$3:$K$1548,$N36)</f>
        <v>2316</v>
      </c>
      <c r="V36" s="136">
        <f>+SUMIFS(daily!$E$3:$E$1548,daily!$F$3:$F$1548,V$30,daily!$D$3:$D$1548,"&gt;="&amp;V$31,daily!$D$3:$D$1548,"&lt;="&amp;V$32,daily!$K$3:$K$1548,$N36)</f>
        <v>4851</v>
      </c>
      <c r="W36" s="136">
        <f>+SUMIFS(daily!$E$3:$E$1548,daily!$F$3:$F$1548,W$30,daily!$D$3:$D$1548,"&gt;="&amp;W$31,daily!$D$3:$D$1548,"&lt;="&amp;W$32,daily!$K$3:$K$1548,$N36)</f>
        <v>4949</v>
      </c>
    </row>
    <row r="37" spans="2:23" ht="18.75" customHeight="1" x14ac:dyDescent="0.25">
      <c r="B37" s="19">
        <f t="shared" si="19"/>
        <v>4</v>
      </c>
      <c r="C37" s="17">
        <f t="shared" si="18"/>
        <v>27</v>
      </c>
      <c r="D37" s="18">
        <f>+VLOOKUP(D$7-1+$C37,daily!$D$3:$E$1548,2,0)</f>
        <v>566</v>
      </c>
      <c r="E37" s="18">
        <f>+VLOOKUP(E$7-1+$C37,daily!$D$3:$E$1548,2,0)</f>
        <v>55</v>
      </c>
      <c r="F37" s="18">
        <f>+VLOOKUP(F$7-1+$C37,daily!$D$3:$E$1548,2,0)</f>
        <v>54</v>
      </c>
      <c r="G37" s="18">
        <f>+VLOOKUP(G$7-1+$C37,daily!$D$3:$E$1548,2,0)</f>
        <v>841</v>
      </c>
      <c r="H37" s="18">
        <f>+VLOOKUP(H$7-1+$C37,daily!$D$3:$E$1548,2,0)</f>
        <v>194</v>
      </c>
      <c r="I37" s="18">
        <f>+VLOOKUP(I$7-1+$C37,daily!$D$3:$E$1548,2,0)</f>
        <v>319</v>
      </c>
      <c r="J37" s="18">
        <f>+VLOOKUP(J$7-1+$C37,daily!$D$3:$E$1548,2,0)</f>
        <v>200</v>
      </c>
      <c r="K37" s="18">
        <f>+VLOOKUP(K$7-1+$C37,daily!$D$3:$E$1548,2,0)</f>
        <v>353</v>
      </c>
      <c r="L37" s="18">
        <f>+VLOOKUP(L$7-1+$C37,daily!$D$3:$E$1548,2,0)</f>
        <v>126</v>
      </c>
      <c r="N37" s="2" t="s">
        <v>78</v>
      </c>
      <c r="O37" s="6">
        <f>+O35+O36</f>
        <v>40701</v>
      </c>
      <c r="P37" s="6">
        <f t="shared" ref="P37:W37" si="24">+P35+P36</f>
        <v>6321</v>
      </c>
      <c r="Q37" s="6">
        <f t="shared" si="24"/>
        <v>7124</v>
      </c>
      <c r="R37" s="6">
        <f t="shared" si="24"/>
        <v>13376</v>
      </c>
      <c r="S37" s="6">
        <f t="shared" si="24"/>
        <v>11852</v>
      </c>
      <c r="T37" s="6">
        <f t="shared" si="24"/>
        <v>25627</v>
      </c>
      <c r="U37" s="6">
        <f t="shared" si="24"/>
        <v>5757</v>
      </c>
      <c r="V37" s="6">
        <f t="shared" si="24"/>
        <v>10016</v>
      </c>
      <c r="W37" s="6">
        <f t="shared" si="24"/>
        <v>9376</v>
      </c>
    </row>
    <row r="38" spans="2:23" ht="18.75" customHeight="1" x14ac:dyDescent="0.25">
      <c r="B38" s="19">
        <f t="shared" si="19"/>
        <v>4</v>
      </c>
      <c r="C38" s="17">
        <f t="shared" si="18"/>
        <v>28</v>
      </c>
      <c r="D38" s="18">
        <f>+VLOOKUP(D$7-1+$C38,daily!$D$3:$E$1548,2,0)</f>
        <v>616</v>
      </c>
      <c r="E38" s="18">
        <f>+VLOOKUP(E$7-1+$C38,daily!$D$3:$E$1548,2,0)</f>
        <v>61</v>
      </c>
      <c r="F38" s="18">
        <f>+VLOOKUP(F$7-1+$C38,daily!$D$3:$E$1548,2,0)</f>
        <v>176</v>
      </c>
      <c r="G38" s="18">
        <f>+VLOOKUP(G$7-1+$C38,daily!$D$3:$E$1548,2,0)</f>
        <v>701</v>
      </c>
      <c r="H38" s="18">
        <f>+VLOOKUP(H$7-1+$C38,daily!$D$3:$E$1548,2,0)</f>
        <v>212</v>
      </c>
      <c r="I38" s="18">
        <f>+VLOOKUP(I$7-1+$C38,daily!$D$3:$E$1548,2,0)</f>
        <v>510</v>
      </c>
      <c r="J38" s="18">
        <f>+VLOOKUP(J$7-1+$C38,daily!$D$3:$E$1548,2,0)</f>
        <v>68</v>
      </c>
      <c r="K38" s="18">
        <f>+VLOOKUP(K$7-1+$C38,daily!$D$3:$E$1548,2,0)</f>
        <v>163</v>
      </c>
      <c r="L38" s="18">
        <f>+VLOOKUP(L$7-1+$C38,daily!$D$3:$E$1548,2,0)</f>
        <v>130</v>
      </c>
      <c r="N38" s="2" t="s">
        <v>71</v>
      </c>
      <c r="O38" s="6">
        <f>+O35/O33</f>
        <v>670.375</v>
      </c>
      <c r="P38" s="6">
        <f t="shared" ref="P38:W38" si="25">+P35/P33</f>
        <v>93.774193548387103</v>
      </c>
      <c r="Q38" s="6">
        <f t="shared" si="25"/>
        <v>91.6875</v>
      </c>
      <c r="R38" s="6">
        <f t="shared" si="25"/>
        <v>201</v>
      </c>
      <c r="S38" s="6">
        <f t="shared" si="25"/>
        <v>201.29032258064515</v>
      </c>
      <c r="T38" s="6">
        <f t="shared" si="25"/>
        <v>456.06451612903226</v>
      </c>
      <c r="U38" s="6">
        <f t="shared" si="25"/>
        <v>104.27272727272727</v>
      </c>
      <c r="V38" s="6">
        <f t="shared" si="25"/>
        <v>156.5151515151515</v>
      </c>
      <c r="W38" s="6">
        <f t="shared" si="25"/>
        <v>142.80645161290323</v>
      </c>
    </row>
    <row r="39" spans="2:23" ht="18.75" customHeight="1" x14ac:dyDescent="0.25">
      <c r="B39" s="19">
        <f t="shared" si="19"/>
        <v>5</v>
      </c>
      <c r="C39" s="17">
        <f t="shared" si="18"/>
        <v>29</v>
      </c>
      <c r="D39" s="18">
        <f>+VLOOKUP(D$7-1+$C39,daily!$D$3:$E$1548,2,0)</f>
        <v>549</v>
      </c>
      <c r="E39" s="18">
        <f>+VLOOKUP(E$7-1+$C39,daily!$D$3:$E$1548,2,0)</f>
        <v>86</v>
      </c>
      <c r="F39" s="18">
        <f>+VLOOKUP(F$7-1+$C39,daily!$D$3:$E$1548,2,0)</f>
        <v>55</v>
      </c>
      <c r="G39" s="18">
        <f>+VLOOKUP(G$7-1+$C39,daily!$D$3:$E$1548,2,0)</f>
        <v>250</v>
      </c>
      <c r="H39" s="18">
        <f>+VLOOKUP(H$7-1+$C39,daily!$D$3:$E$1548,2,0)</f>
        <v>296</v>
      </c>
      <c r="I39" s="18">
        <f>+VLOOKUP(I$7-1+$C39,daily!$D$3:$E$1548,2,0)</f>
        <v>0</v>
      </c>
      <c r="J39" s="18">
        <f>+VLOOKUP(J$7-1+$C39,daily!$D$3:$E$1548,2,0)</f>
        <v>128</v>
      </c>
      <c r="K39" s="18">
        <f>+VLOOKUP(K$7-1+$C39,daily!$D$3:$E$1548,2,0)</f>
        <v>105</v>
      </c>
      <c r="L39" s="18">
        <f>+VLOOKUP(L$7-1+$C39,daily!$D$3:$E$1548,2,0)</f>
        <v>347</v>
      </c>
      <c r="N39" s="2" t="s">
        <v>72</v>
      </c>
      <c r="O39" s="6">
        <f>+O36/O34</f>
        <v>1480.6923076923076</v>
      </c>
      <c r="P39" s="6">
        <f t="shared" ref="P39:W39" si="26">+P36/P34</f>
        <v>243.85714285714286</v>
      </c>
      <c r="Q39" s="6">
        <f t="shared" si="26"/>
        <v>322.30769230769232</v>
      </c>
      <c r="R39" s="6">
        <f t="shared" si="26"/>
        <v>561.91666666666663</v>
      </c>
      <c r="S39" s="6">
        <f t="shared" si="26"/>
        <v>400.85714285714283</v>
      </c>
      <c r="T39" s="6">
        <f t="shared" si="26"/>
        <v>820.64285714285711</v>
      </c>
      <c r="U39" s="6">
        <f t="shared" si="26"/>
        <v>193</v>
      </c>
      <c r="V39" s="6">
        <f t="shared" si="26"/>
        <v>404.25</v>
      </c>
      <c r="W39" s="6">
        <f t="shared" si="26"/>
        <v>353.5</v>
      </c>
    </row>
    <row r="40" spans="2:23" ht="18.75" customHeight="1" x14ac:dyDescent="0.25">
      <c r="B40" s="19">
        <f t="shared" si="19"/>
        <v>5</v>
      </c>
      <c r="C40" s="17">
        <f t="shared" si="18"/>
        <v>30</v>
      </c>
      <c r="D40" s="18">
        <f>+VLOOKUP(D$7-1+$C40,daily!$D$3:$E$1548,2,0)</f>
        <v>740</v>
      </c>
      <c r="E40" s="18">
        <f>+VLOOKUP(E$7-1+$C40,daily!$D$3:$E$1548,2,0)</f>
        <v>283</v>
      </c>
      <c r="F40" s="18">
        <f>+VLOOKUP(F$7-1+$C40,daily!$D$3:$E$1548,2,0)</f>
        <v>134</v>
      </c>
      <c r="G40" s="18">
        <f>+VLOOKUP(G$7-1+$C40,daily!$D$3:$E$1548,2,0)</f>
        <v>240</v>
      </c>
      <c r="H40" s="18">
        <f>+VLOOKUP(H$7-1+$C40,daily!$D$3:$E$1548,2,0)</f>
        <v>602</v>
      </c>
      <c r="I40" s="18">
        <f>+VLOOKUP(I$7-1+$C40,daily!$D$3:$E$1548,2,0)</f>
        <v>0</v>
      </c>
      <c r="J40" s="18">
        <f>+VLOOKUP(J$7-1+$C40,daily!$D$3:$E$1548,2,0)</f>
        <v>54</v>
      </c>
      <c r="K40" s="18">
        <f>+VLOOKUP(K$7-1+$C40,daily!$D$3:$E$1548,2,0)</f>
        <v>130</v>
      </c>
      <c r="L40" s="18">
        <f>+VLOOKUP(L$7-1+$C40,daily!$D$3:$E$1548,2,0)</f>
        <v>258</v>
      </c>
    </row>
    <row r="41" spans="2:23" ht="18.75" customHeight="1" x14ac:dyDescent="0.25">
      <c r="B41" s="19">
        <f t="shared" si="19"/>
        <v>5</v>
      </c>
      <c r="C41" s="17">
        <f t="shared" si="18"/>
        <v>31</v>
      </c>
      <c r="D41" s="18">
        <f>+VLOOKUP(D$7-1+$C41,daily!$D$3:$E$1548,2,0)</f>
        <v>1556</v>
      </c>
      <c r="E41" s="18">
        <f>+VLOOKUP(E$7-1+$C41,daily!$D$3:$E$1548,2,0)</f>
        <v>281</v>
      </c>
      <c r="F41" s="18">
        <f>+VLOOKUP(F$7-1+$C41,daily!$D$3:$E$1548,2,0)</f>
        <v>349</v>
      </c>
      <c r="G41" s="18">
        <f>+VLOOKUP(G$7-1+$C41,daily!$D$3:$E$1548,2,0)</f>
        <v>419</v>
      </c>
      <c r="H41" s="18">
        <f>+VLOOKUP(H$7-1+$C41,daily!$D$3:$E$1548,2,0)</f>
        <v>577</v>
      </c>
      <c r="I41" s="18">
        <f>+VLOOKUP(I$7-1+$C41,daily!$D$3:$E$1548,2,0)</f>
        <v>809</v>
      </c>
      <c r="J41" s="18">
        <f>+VLOOKUP(J$7-1+$C41,daily!$D$3:$E$1548,2,0)</f>
        <v>122</v>
      </c>
      <c r="K41" s="18">
        <f>+VLOOKUP(K$7-1+$C41,daily!$D$3:$E$1548,2,0)</f>
        <v>120</v>
      </c>
      <c r="L41" s="18">
        <f>+VLOOKUP(L$7-1+$C41,daily!$D$3:$E$1548,2,0)</f>
        <v>105</v>
      </c>
    </row>
    <row r="42" spans="2:23" ht="18.75" customHeight="1" x14ac:dyDescent="0.25">
      <c r="B42" s="19">
        <f t="shared" si="19"/>
        <v>5</v>
      </c>
      <c r="C42" s="17">
        <f t="shared" si="18"/>
        <v>32</v>
      </c>
      <c r="D42" s="18">
        <f>+VLOOKUP(D$7-1+$C42,daily!$D$3:$E$1548,2,0)</f>
        <v>1267</v>
      </c>
      <c r="E42" s="18">
        <f>+VLOOKUP(E$7-1+$C42,daily!$D$3:$E$1548,2,0)</f>
        <v>60</v>
      </c>
      <c r="F42" s="18">
        <f>+VLOOKUP(F$7-1+$C42,daily!$D$3:$E$1548,2,0)</f>
        <v>407</v>
      </c>
      <c r="G42" s="18">
        <f>+VLOOKUP(G$7-1+$C42,daily!$D$3:$E$1548,2,0)</f>
        <v>457</v>
      </c>
      <c r="H42" s="18">
        <f>+VLOOKUP(H$7-1+$C42,daily!$D$3:$E$1548,2,0)</f>
        <v>254</v>
      </c>
      <c r="I42" s="18">
        <f>+VLOOKUP(I$7-1+$C42,daily!$D$3:$E$1548,2,0)</f>
        <v>694</v>
      </c>
      <c r="J42" s="18">
        <f>+VLOOKUP(J$7-1+$C42,daily!$D$3:$E$1548,2,0)</f>
        <v>157</v>
      </c>
      <c r="K42" s="18">
        <f>+VLOOKUP(K$7-1+$C42,daily!$D$3:$E$1548,2,0)</f>
        <v>177</v>
      </c>
      <c r="L42" s="18">
        <f>+VLOOKUP(L$7-1+$C42,daily!$D$3:$E$1548,2,0)</f>
        <v>90</v>
      </c>
    </row>
    <row r="43" spans="2:23" ht="18.75" customHeight="1" x14ac:dyDescent="0.25">
      <c r="B43" s="19">
        <f t="shared" si="19"/>
        <v>5</v>
      </c>
      <c r="C43" s="17">
        <f t="shared" si="18"/>
        <v>33</v>
      </c>
      <c r="D43" s="18">
        <f>+VLOOKUP(D$7-1+$C43,daily!$D$3:$E$1548,2,0)</f>
        <v>719</v>
      </c>
      <c r="E43" s="18">
        <f>+VLOOKUP(E$7-1+$C43,daily!$D$3:$E$1548,2,0)</f>
        <v>83</v>
      </c>
      <c r="F43" s="18">
        <f>+VLOOKUP(F$7-1+$C43,daily!$D$3:$E$1548,2,0)</f>
        <v>60</v>
      </c>
      <c r="G43" s="18">
        <f>+VLOOKUP(G$7-1+$C43,daily!$D$3:$E$1548,2,0)</f>
        <v>210</v>
      </c>
      <c r="H43" s="18">
        <f>+VLOOKUP(H$7-1+$C43,daily!$D$3:$E$1548,2,0)</f>
        <v>212</v>
      </c>
      <c r="I43" s="18">
        <f>+VLOOKUP(I$7-1+$C43,daily!$D$3:$E$1548,2,0)</f>
        <v>424</v>
      </c>
      <c r="J43" s="18">
        <f>+VLOOKUP(J$7-1+$C43,daily!$D$3:$E$1548,2,0)</f>
        <v>164</v>
      </c>
      <c r="K43" s="18">
        <f>+VLOOKUP(K$7-1+$C43,daily!$D$3:$E$1548,2,0)</f>
        <v>326</v>
      </c>
      <c r="L43" s="18">
        <f>+VLOOKUP(L$7-1+$C43,daily!$D$3:$E$1548,2,0)</f>
        <v>150</v>
      </c>
    </row>
    <row r="44" spans="2:23" ht="18.75" customHeight="1" x14ac:dyDescent="0.25">
      <c r="B44" s="19">
        <f t="shared" si="19"/>
        <v>5</v>
      </c>
      <c r="C44" s="17">
        <f t="shared" si="18"/>
        <v>34</v>
      </c>
      <c r="D44" s="18">
        <f>+VLOOKUP(D$7-1+$C44,daily!$D$3:$E$1548,2,0)</f>
        <v>500</v>
      </c>
      <c r="E44" s="18">
        <f>+VLOOKUP(E$7-1+$C44,daily!$D$3:$E$1548,2,0)</f>
        <v>248</v>
      </c>
      <c r="F44" s="18">
        <f>+VLOOKUP(F$7-1+$C44,daily!$D$3:$E$1548,2,0)</f>
        <v>61</v>
      </c>
      <c r="G44" s="18">
        <f>+VLOOKUP(G$7-1+$C44,daily!$D$3:$E$1548,2,0)</f>
        <v>558</v>
      </c>
      <c r="H44" s="18">
        <f>+VLOOKUP(H$7-1+$C44,daily!$D$3:$E$1548,2,0)</f>
        <v>349</v>
      </c>
      <c r="I44" s="18">
        <f>+VLOOKUP(I$7-1+$C44,daily!$D$3:$E$1548,2,0)</f>
        <v>406</v>
      </c>
      <c r="J44" s="18">
        <f>+VLOOKUP(J$7-1+$C44,daily!$D$3:$E$1548,2,0)</f>
        <v>125</v>
      </c>
      <c r="K44" s="18">
        <f>+VLOOKUP(K$7-1+$C44,daily!$D$3:$E$1548,2,0)</f>
        <v>320</v>
      </c>
      <c r="L44" s="18">
        <f>+VLOOKUP(L$7-1+$C44,daily!$D$3:$E$1548,2,0)</f>
        <v>160</v>
      </c>
    </row>
    <row r="45" spans="2:23" ht="18.75" customHeight="1" x14ac:dyDescent="0.25">
      <c r="B45" s="19">
        <f t="shared" si="19"/>
        <v>5</v>
      </c>
      <c r="C45" s="17">
        <f t="shared" si="18"/>
        <v>35</v>
      </c>
      <c r="D45" s="18">
        <f>+VLOOKUP(D$7-1+$C45,daily!$D$3:$E$1548,2,0)</f>
        <v>715</v>
      </c>
      <c r="E45" s="18">
        <f>+VLOOKUP(E$7-1+$C45,daily!$D$3:$E$1548,2,0)</f>
        <v>65</v>
      </c>
      <c r="F45" s="18">
        <f>+VLOOKUP(F$7-1+$C45,daily!$D$3:$E$1548,2,0)</f>
        <v>96</v>
      </c>
      <c r="G45" s="18">
        <f>+VLOOKUP(G$7-1+$C45,daily!$D$3:$E$1548,2,0)</f>
        <v>423</v>
      </c>
      <c r="H45" s="18">
        <f>+VLOOKUP(H$7-1+$C45,daily!$D$3:$E$1548,2,0)</f>
        <v>87</v>
      </c>
      <c r="I45" s="18">
        <f>+VLOOKUP(I$7-1+$C45,daily!$D$3:$E$1548,2,0)</f>
        <v>592</v>
      </c>
      <c r="J45" s="18">
        <f>+VLOOKUP(J$7-1+$C45,daily!$D$3:$E$1548,2,0)</f>
        <v>131</v>
      </c>
      <c r="K45" s="18">
        <f>+VLOOKUP(K$7-1+$C45,daily!$D$3:$E$1548,2,0)</f>
        <v>94</v>
      </c>
      <c r="L45" s="18">
        <f>+VLOOKUP(L$7-1+$C45,daily!$D$3:$E$1548,2,0)</f>
        <v>117</v>
      </c>
    </row>
    <row r="46" spans="2:23" ht="18.75" customHeight="1" x14ac:dyDescent="0.25">
      <c r="B46" s="19">
        <f t="shared" si="19"/>
        <v>6</v>
      </c>
      <c r="C46" s="17">
        <f t="shared" si="18"/>
        <v>36</v>
      </c>
      <c r="D46" s="18">
        <f>+VLOOKUP(D$7-1+$C46,daily!$D$3:$E$1548,2,0)</f>
        <v>606</v>
      </c>
      <c r="E46" s="18">
        <f>+VLOOKUP(E$7-1+$C46,daily!$D$3:$E$1548,2,0)</f>
        <v>192</v>
      </c>
      <c r="F46" s="18">
        <f>+VLOOKUP(F$7-1+$C46,daily!$D$3:$E$1548,2,0)</f>
        <v>85</v>
      </c>
      <c r="G46" s="18">
        <f>+VLOOKUP(G$7-1+$C46,daily!$D$3:$E$1548,2,0)</f>
        <v>160</v>
      </c>
      <c r="H46" s="18">
        <f>+VLOOKUP(H$7-1+$C46,daily!$D$3:$E$1548,2,0)</f>
        <v>163</v>
      </c>
      <c r="I46" s="18">
        <f>+VLOOKUP(I$7-1+$C46,daily!$D$3:$E$1548,2,0)</f>
        <v>1310</v>
      </c>
      <c r="J46" s="18">
        <f>+VLOOKUP(J$7-1+$C46,daily!$D$3:$E$1548,2,0)</f>
        <v>83</v>
      </c>
      <c r="K46" s="18">
        <f>+VLOOKUP(K$7-1+$C46,daily!$D$3:$E$1548,2,0)</f>
        <v>122</v>
      </c>
      <c r="L46" s="18">
        <f>+VLOOKUP(L$7-1+$C46,daily!$D$3:$E$1548,2,0)</f>
        <v>389</v>
      </c>
    </row>
    <row r="47" spans="2:23" ht="18.75" customHeight="1" x14ac:dyDescent="0.25">
      <c r="B47" s="19">
        <f t="shared" si="19"/>
        <v>6</v>
      </c>
      <c r="C47" s="17">
        <f t="shared" si="18"/>
        <v>37</v>
      </c>
      <c r="D47" s="18">
        <f>+VLOOKUP(D$7-1+$C47,daily!$D$3:$E$1548,2,0)</f>
        <v>985</v>
      </c>
      <c r="E47" s="18">
        <f>+VLOOKUP(E$7-1+$C47,daily!$D$3:$E$1548,2,0)</f>
        <v>354</v>
      </c>
      <c r="F47" s="18">
        <f>+VLOOKUP(F$7-1+$C47,daily!$D$3:$E$1548,2,0)</f>
        <v>155</v>
      </c>
      <c r="G47" s="18">
        <f>+VLOOKUP(G$7-1+$C47,daily!$D$3:$E$1548,2,0)</f>
        <v>194</v>
      </c>
      <c r="H47" s="18">
        <f>+VLOOKUP(H$7-1+$C47,daily!$D$3:$E$1548,2,0)</f>
        <v>373</v>
      </c>
      <c r="I47" s="18">
        <f>+VLOOKUP(I$7-1+$C47,daily!$D$3:$E$1548,2,0)</f>
        <v>1277</v>
      </c>
      <c r="J47" s="18">
        <f>+VLOOKUP(J$7-1+$C47,daily!$D$3:$E$1548,2,0)</f>
        <v>97</v>
      </c>
      <c r="K47" s="18">
        <f>+VLOOKUP(K$7-1+$C47,daily!$D$3:$E$1548,2,0)</f>
        <v>127</v>
      </c>
      <c r="L47" s="18">
        <f>+VLOOKUP(L$7-1+$C47,daily!$D$3:$E$1548,2,0)</f>
        <v>251</v>
      </c>
    </row>
    <row r="48" spans="2:23" ht="18.75" customHeight="1" x14ac:dyDescent="0.25">
      <c r="B48" s="19">
        <f t="shared" si="19"/>
        <v>6</v>
      </c>
      <c r="C48" s="17">
        <f t="shared" si="18"/>
        <v>38</v>
      </c>
      <c r="D48" s="18">
        <f>+VLOOKUP(D$7-1+$C48,daily!$D$3:$E$1548,2,0)</f>
        <v>1776</v>
      </c>
      <c r="E48" s="18">
        <f>+VLOOKUP(E$7-1+$C48,daily!$D$3:$E$1548,2,0)</f>
        <v>224</v>
      </c>
      <c r="F48" s="18">
        <f>+VLOOKUP(F$7-1+$C48,daily!$D$3:$E$1548,2,0)</f>
        <v>372</v>
      </c>
      <c r="G48" s="18">
        <f>+VLOOKUP(G$7-1+$C48,daily!$D$3:$E$1548,2,0)</f>
        <v>163</v>
      </c>
      <c r="H48" s="18">
        <f>+VLOOKUP(H$7-1+$C48,daily!$D$3:$E$1548,2,0)</f>
        <v>275</v>
      </c>
      <c r="I48" s="18">
        <f>+VLOOKUP(I$7-1+$C48,daily!$D$3:$E$1548,2,0)</f>
        <v>695</v>
      </c>
      <c r="J48" s="18">
        <f>+VLOOKUP(J$7-1+$C48,daily!$D$3:$E$1548,2,0)</f>
        <v>68</v>
      </c>
      <c r="K48" s="18">
        <f>+VLOOKUP(K$7-1+$C48,daily!$D$3:$E$1548,2,0)</f>
        <v>95</v>
      </c>
      <c r="L48" s="18">
        <f>+VLOOKUP(L$7-1+$C48,daily!$D$3:$E$1548,2,0)</f>
        <v>88</v>
      </c>
    </row>
    <row r="49" spans="2:12" ht="18.75" customHeight="1" x14ac:dyDescent="0.25">
      <c r="B49" s="19">
        <f t="shared" si="19"/>
        <v>6</v>
      </c>
      <c r="C49" s="17">
        <f t="shared" si="18"/>
        <v>39</v>
      </c>
      <c r="D49" s="18">
        <f>+VLOOKUP(D$7-1+$C49,daily!$D$3:$E$1548,2,0)</f>
        <v>1300</v>
      </c>
      <c r="E49" s="18">
        <f>+VLOOKUP(E$7-1+$C49,daily!$D$3:$E$1548,2,0)</f>
        <v>0</v>
      </c>
      <c r="F49" s="18">
        <f>+VLOOKUP(F$7-1+$C49,daily!$D$3:$E$1548,2,0)</f>
        <v>355</v>
      </c>
      <c r="G49" s="18">
        <f>+VLOOKUP(G$7-1+$C49,daily!$D$3:$E$1548,2,0)</f>
        <v>182</v>
      </c>
      <c r="H49" s="18">
        <f>+VLOOKUP(H$7-1+$C49,daily!$D$3:$E$1548,2,0)</f>
        <v>96</v>
      </c>
      <c r="I49" s="18">
        <f>+VLOOKUP(I$7-1+$C49,daily!$D$3:$E$1548,2,0)</f>
        <v>677</v>
      </c>
      <c r="J49" s="18">
        <f>+VLOOKUP(J$7-1+$C49,daily!$D$3:$E$1548,2,0)</f>
        <v>195</v>
      </c>
      <c r="K49" s="18">
        <f>+VLOOKUP(K$7-1+$C49,daily!$D$3:$E$1548,2,0)</f>
        <v>151</v>
      </c>
      <c r="L49" s="18">
        <f>+VLOOKUP(L$7-1+$C49,daily!$D$3:$E$1548,2,0)</f>
        <v>103</v>
      </c>
    </row>
    <row r="50" spans="2:12" ht="18.75" customHeight="1" x14ac:dyDescent="0.25">
      <c r="B50" s="19">
        <f t="shared" si="19"/>
        <v>6</v>
      </c>
      <c r="C50" s="17">
        <f t="shared" si="18"/>
        <v>40</v>
      </c>
      <c r="D50" s="18">
        <f>+VLOOKUP(D$7-1+$C50,daily!$D$3:$E$1548,2,0)</f>
        <v>617</v>
      </c>
      <c r="E50" s="18">
        <f>+VLOOKUP(E$7-1+$C50,daily!$D$3:$E$1548,2,0)</f>
        <v>99</v>
      </c>
      <c r="F50" s="18">
        <f>+VLOOKUP(F$7-1+$C50,daily!$D$3:$E$1548,2,0)</f>
        <v>0</v>
      </c>
      <c r="G50" s="18">
        <f>+VLOOKUP(G$7-1+$C50,daily!$D$3:$E$1548,2,0)</f>
        <v>274</v>
      </c>
      <c r="H50" s="18">
        <f>+VLOOKUP(H$7-1+$C50,daily!$D$3:$E$1548,2,0)</f>
        <v>76</v>
      </c>
      <c r="I50" s="18">
        <f>+VLOOKUP(I$7-1+$C50,daily!$D$3:$E$1548,2,0)</f>
        <v>198</v>
      </c>
      <c r="J50" s="18">
        <f>+VLOOKUP(J$7-1+$C50,daily!$D$3:$E$1548,2,0)</f>
        <v>158</v>
      </c>
      <c r="K50" s="18">
        <f>+VLOOKUP(K$7-1+$C50,daily!$D$3:$E$1548,2,0)</f>
        <v>487</v>
      </c>
      <c r="L50" s="18">
        <f>+VLOOKUP(L$7-1+$C50,daily!$D$3:$E$1548,2,0)</f>
        <v>147</v>
      </c>
    </row>
    <row r="51" spans="2:12" ht="18.75" customHeight="1" x14ac:dyDescent="0.25">
      <c r="B51" s="19">
        <f t="shared" si="19"/>
        <v>6</v>
      </c>
      <c r="C51" s="17">
        <f t="shared" si="18"/>
        <v>41</v>
      </c>
      <c r="D51" s="18">
        <f>+VLOOKUP(D$7-1+$C51,daily!$D$3:$E$1548,2,0)</f>
        <v>579</v>
      </c>
      <c r="E51" s="18">
        <f>+VLOOKUP(E$7-1+$C51,daily!$D$3:$E$1548,2,0)</f>
        <v>105</v>
      </c>
      <c r="F51" s="18">
        <f>+VLOOKUP(F$7-1+$C51,daily!$D$3:$E$1548,2,0)</f>
        <v>106</v>
      </c>
      <c r="G51" s="18">
        <f>+VLOOKUP(G$7-1+$C51,daily!$D$3:$E$1548,2,0)</f>
        <v>656</v>
      </c>
      <c r="H51" s="18">
        <f>+VLOOKUP(H$7-1+$C51,daily!$D$3:$E$1548,2,0)</f>
        <v>138</v>
      </c>
      <c r="I51" s="18">
        <f>+VLOOKUP(I$7-1+$C51,daily!$D$3:$E$1548,2,0)</f>
        <v>186</v>
      </c>
      <c r="J51" s="18">
        <f>+VLOOKUP(J$7-1+$C51,daily!$D$3:$E$1548,2,0)</f>
        <v>25</v>
      </c>
      <c r="K51" s="18">
        <f>+VLOOKUP(K$7-1+$C51,daily!$D$3:$E$1548,2,0)</f>
        <v>427</v>
      </c>
      <c r="L51" s="18">
        <f>+VLOOKUP(L$7-1+$C51,daily!$D$3:$E$1548,2,0)</f>
        <v>116</v>
      </c>
    </row>
    <row r="52" spans="2:12" ht="18.75" customHeight="1" x14ac:dyDescent="0.25">
      <c r="B52" s="19">
        <f t="shared" si="19"/>
        <v>6</v>
      </c>
      <c r="C52" s="17">
        <f t="shared" si="18"/>
        <v>42</v>
      </c>
      <c r="D52" s="18">
        <f>+VLOOKUP(D$7-1+$C52,daily!$D$3:$E$1548,2,0)</f>
        <v>697</v>
      </c>
      <c r="E52" s="18">
        <f>+VLOOKUP(E$7-1+$C52,daily!$D$3:$E$1548,2,0)</f>
        <v>51</v>
      </c>
      <c r="F52" s="18">
        <f>+VLOOKUP(F$7-1+$C52,daily!$D$3:$E$1548,2,0)</f>
        <v>157</v>
      </c>
      <c r="G52" s="18">
        <f>+VLOOKUP(G$7-1+$C52,daily!$D$3:$E$1548,2,0)</f>
        <v>406</v>
      </c>
      <c r="H52" s="18">
        <f>+VLOOKUP(H$7-1+$C52,daily!$D$3:$E$1548,2,0)</f>
        <v>127</v>
      </c>
      <c r="I52" s="18">
        <f>+VLOOKUP(I$7-1+$C52,daily!$D$3:$E$1548,2,0)</f>
        <v>256</v>
      </c>
      <c r="J52" s="18">
        <f>+VLOOKUP(J$7-1+$C52,daily!$D$3:$E$1548,2,0)</f>
        <v>122</v>
      </c>
      <c r="K52" s="18">
        <f>+VLOOKUP(K$7-1+$C52,daily!$D$3:$E$1548,2,0)</f>
        <v>0</v>
      </c>
      <c r="L52" s="18">
        <f>+VLOOKUP(L$7-1+$C52,daily!$D$3:$E$1548,2,0)</f>
        <v>308</v>
      </c>
    </row>
    <row r="53" spans="2:12" ht="18.75" customHeight="1" x14ac:dyDescent="0.25">
      <c r="B53" s="19">
        <f t="shared" si="19"/>
        <v>7</v>
      </c>
      <c r="C53" s="17">
        <f t="shared" si="18"/>
        <v>43</v>
      </c>
      <c r="D53" s="18">
        <f>+VLOOKUP(D$7-1+$C53,daily!$D$3:$E$1548,2,0)</f>
        <v>561</v>
      </c>
      <c r="E53" s="18">
        <f>+VLOOKUP(E$7-1+$C53,daily!$D$3:$E$1548,2,0)</f>
        <v>76</v>
      </c>
      <c r="F53" s="18">
        <f>+VLOOKUP(F$7-1+$C53,daily!$D$3:$E$1548,2,0)</f>
        <v>133</v>
      </c>
      <c r="G53" s="18">
        <f>+VLOOKUP(G$7-1+$C53,daily!$D$3:$E$1548,2,0)</f>
        <v>173</v>
      </c>
      <c r="H53" s="18">
        <f>+VLOOKUP(H$7-1+$C53,daily!$D$3:$E$1548,2,0)</f>
        <v>0</v>
      </c>
      <c r="I53" s="18">
        <f>+VLOOKUP(I$7-1+$C53,daily!$D$3:$E$1548,2,0)</f>
        <v>638</v>
      </c>
      <c r="J53" s="18">
        <f>+VLOOKUP(J$7-1+$C53,daily!$D$3:$E$1548,2,0)</f>
        <v>102</v>
      </c>
      <c r="K53" s="18">
        <f>+VLOOKUP(K$7-1+$C53,daily!$D$3:$E$1548,2,0)</f>
        <v>135</v>
      </c>
      <c r="L53" s="18">
        <f>+VLOOKUP(L$7-1+$C53,daily!$D$3:$E$1548,2,0)</f>
        <v>343</v>
      </c>
    </row>
    <row r="54" spans="2:12" ht="18.75" customHeight="1" x14ac:dyDescent="0.25">
      <c r="B54" s="19">
        <f t="shared" si="19"/>
        <v>7</v>
      </c>
      <c r="C54" s="17">
        <f t="shared" si="18"/>
        <v>44</v>
      </c>
      <c r="D54" s="18">
        <f>+VLOOKUP(D$7-1+$C54,daily!$D$3:$E$1548,2,0)</f>
        <v>755</v>
      </c>
      <c r="E54" s="18">
        <f>+VLOOKUP(E$7-1+$C54,daily!$D$3:$E$1548,2,0)</f>
        <v>251</v>
      </c>
      <c r="F54" s="18">
        <f>+VLOOKUP(F$7-1+$C54,daily!$D$3:$E$1548,2,0)</f>
        <v>177</v>
      </c>
      <c r="G54" s="18">
        <f>+VLOOKUP(G$7-1+$C54,daily!$D$3:$E$1548,2,0)</f>
        <v>170</v>
      </c>
      <c r="H54" s="18">
        <f>+VLOOKUP(H$7-1+$C54,daily!$D$3:$E$1548,2,0)</f>
        <v>0</v>
      </c>
      <c r="I54" s="18">
        <f>+VLOOKUP(I$7-1+$C54,daily!$D$3:$E$1548,2,0)</f>
        <v>507</v>
      </c>
      <c r="J54" s="18">
        <f>+VLOOKUP(J$7-1+$C54,daily!$D$3:$E$1548,2,0)</f>
        <v>74</v>
      </c>
      <c r="K54" s="18">
        <f>+VLOOKUP(K$7-1+$C54,daily!$D$3:$E$1548,2,0)</f>
        <v>161</v>
      </c>
      <c r="L54" s="18">
        <f>+VLOOKUP(L$7-1+$C54,daily!$D$3:$E$1548,2,0)</f>
        <v>302</v>
      </c>
    </row>
    <row r="55" spans="2:12" ht="18.75" customHeight="1" x14ac:dyDescent="0.25">
      <c r="B55" s="19">
        <f t="shared" si="19"/>
        <v>7</v>
      </c>
      <c r="C55" s="17">
        <f t="shared" si="18"/>
        <v>45</v>
      </c>
      <c r="D55" s="18">
        <f>+VLOOKUP(D$7-1+$C55,daily!$D$3:$E$1548,2,0)</f>
        <v>1461</v>
      </c>
      <c r="E55" s="18">
        <f>+VLOOKUP(E$7-1+$C55,daily!$D$3:$E$1548,2,0)</f>
        <v>158</v>
      </c>
      <c r="F55" s="18">
        <f>+VLOOKUP(F$7-1+$C55,daily!$D$3:$E$1548,2,0)</f>
        <v>465</v>
      </c>
      <c r="G55" s="18">
        <f>+VLOOKUP(G$7-1+$C55,daily!$D$3:$E$1548,2,0)</f>
        <v>138</v>
      </c>
      <c r="H55" s="18">
        <f>+VLOOKUP(H$7-1+$C55,daily!$D$3:$E$1548,2,0)</f>
        <v>295</v>
      </c>
      <c r="I55" s="18">
        <f>+VLOOKUP(I$7-1+$C55,daily!$D$3:$E$1548,2,0)</f>
        <v>258</v>
      </c>
      <c r="J55" s="18">
        <f>+VLOOKUP(J$7-1+$C55,daily!$D$3:$E$1548,2,0)</f>
        <v>159</v>
      </c>
      <c r="K55" s="18">
        <f>+VLOOKUP(K$7-1+$C55,daily!$D$3:$E$1548,2,0)</f>
        <v>126</v>
      </c>
      <c r="L55" s="18">
        <f>+VLOOKUP(L$7-1+$C55,daily!$D$3:$E$1548,2,0)</f>
        <v>143</v>
      </c>
    </row>
    <row r="56" spans="2:12" ht="18.75" customHeight="1" x14ac:dyDescent="0.25">
      <c r="B56" s="19">
        <f t="shared" si="19"/>
        <v>7</v>
      </c>
      <c r="C56" s="17">
        <f t="shared" si="18"/>
        <v>46</v>
      </c>
      <c r="D56" s="18">
        <f>+VLOOKUP(D$7-1+$C56,daily!$D$3:$E$1548,2,0)</f>
        <v>989</v>
      </c>
      <c r="E56" s="18">
        <f>+VLOOKUP(E$7-1+$C56,daily!$D$3:$E$1548,2,0)</f>
        <v>51</v>
      </c>
      <c r="F56" s="18">
        <f>+VLOOKUP(F$7-1+$C56,daily!$D$3:$E$1548,2,0)</f>
        <v>361</v>
      </c>
      <c r="G56" s="18">
        <f>+VLOOKUP(G$7-1+$C56,daily!$D$3:$E$1548,2,0)</f>
        <v>157</v>
      </c>
      <c r="H56" s="18">
        <f>+VLOOKUP(H$7-1+$C56,daily!$D$3:$E$1548,2,0)</f>
        <v>327</v>
      </c>
      <c r="I56" s="18">
        <f>+VLOOKUP(I$7-1+$C56,daily!$D$3:$E$1548,2,0)</f>
        <v>245</v>
      </c>
      <c r="J56" s="18">
        <f>+VLOOKUP(J$7-1+$C56,daily!$D$3:$E$1548,2,0)</f>
        <v>194</v>
      </c>
      <c r="K56" s="18">
        <f>+VLOOKUP(K$7-1+$C56,daily!$D$3:$E$1548,2,0)</f>
        <v>153</v>
      </c>
      <c r="L56" s="18">
        <f>+VLOOKUP(L$7-1+$C56,daily!$D$3:$E$1548,2,0)</f>
        <v>0</v>
      </c>
    </row>
    <row r="57" spans="2:12" ht="18.75" customHeight="1" x14ac:dyDescent="0.25">
      <c r="B57" s="19">
        <f t="shared" si="19"/>
        <v>7</v>
      </c>
      <c r="C57" s="17">
        <f t="shared" si="18"/>
        <v>47</v>
      </c>
      <c r="D57" s="18">
        <f>+VLOOKUP(D$7-1+$C57,daily!$D$3:$E$1548,2,0)</f>
        <v>512</v>
      </c>
      <c r="E57" s="18">
        <f>+VLOOKUP(E$7-1+$C57,daily!$D$3:$E$1548,2,0)</f>
        <v>32</v>
      </c>
      <c r="F57" s="18">
        <f>+VLOOKUP(F$7-1+$C57,daily!$D$3:$E$1548,2,0)</f>
        <v>123</v>
      </c>
      <c r="G57" s="18">
        <f>+VLOOKUP(G$7-1+$C57,daily!$D$3:$E$1548,2,0)</f>
        <v>189</v>
      </c>
      <c r="H57" s="18">
        <f>+VLOOKUP(H$7-1+$C57,daily!$D$3:$E$1548,2,0)</f>
        <v>77</v>
      </c>
      <c r="I57" s="18">
        <f>+VLOOKUP(I$7-1+$C57,daily!$D$3:$E$1548,2,0)</f>
        <v>195</v>
      </c>
      <c r="J57" s="18">
        <f>+VLOOKUP(J$7-1+$C57,daily!$D$3:$E$1548,2,0)</f>
        <v>154</v>
      </c>
      <c r="K57" s="18">
        <f>+VLOOKUP(K$7-1+$C57,daily!$D$3:$E$1548,2,0)</f>
        <v>521</v>
      </c>
      <c r="L57" s="18">
        <f>+VLOOKUP(L$7-1+$C57,daily!$D$3:$E$1548,2,0)</f>
        <v>0</v>
      </c>
    </row>
    <row r="58" spans="2:12" ht="18.75" customHeight="1" x14ac:dyDescent="0.25">
      <c r="B58" s="19">
        <f t="shared" si="19"/>
        <v>7</v>
      </c>
      <c r="C58" s="17">
        <f t="shared" si="18"/>
        <v>48</v>
      </c>
      <c r="D58" s="18">
        <f>+VLOOKUP(D$7-1+$C58,daily!$D$3:$E$1548,2,0)</f>
        <v>435</v>
      </c>
      <c r="E58" s="18">
        <f>+VLOOKUP(E$7-1+$C58,daily!$D$3:$E$1548,2,0)</f>
        <v>36</v>
      </c>
      <c r="F58" s="18">
        <f>+VLOOKUP(F$7-1+$C58,daily!$D$3:$E$1548,2,0)</f>
        <v>121</v>
      </c>
      <c r="G58" s="18">
        <f>+VLOOKUP(G$7-1+$C58,daily!$D$3:$E$1548,2,0)</f>
        <v>466</v>
      </c>
      <c r="H58" s="18">
        <f>+VLOOKUP(H$7-1+$C58,daily!$D$3:$E$1548,2,0)</f>
        <v>79</v>
      </c>
      <c r="I58" s="18">
        <f>+VLOOKUP(I$7-1+$C58,daily!$D$3:$E$1548,2,0)</f>
        <v>190</v>
      </c>
      <c r="J58" s="18">
        <f>+VLOOKUP(J$7-1+$C58,daily!$D$3:$E$1548,2,0)</f>
        <v>84</v>
      </c>
      <c r="K58" s="18">
        <f>+VLOOKUP(K$7-1+$C58,daily!$D$3:$E$1548,2,0)</f>
        <v>523</v>
      </c>
      <c r="L58" s="18">
        <f>+VLOOKUP(L$7-1+$C58,daily!$D$3:$E$1548,2,0)</f>
        <v>0</v>
      </c>
    </row>
    <row r="59" spans="2:12" ht="18.75" customHeight="1" x14ac:dyDescent="0.25">
      <c r="B59" s="19">
        <f t="shared" si="19"/>
        <v>7</v>
      </c>
      <c r="C59" s="17">
        <f t="shared" si="18"/>
        <v>49</v>
      </c>
      <c r="D59" s="18">
        <f>+VLOOKUP(D$7-1+$C59,daily!$D$3:$E$1548,2,0)</f>
        <v>435</v>
      </c>
      <c r="E59" s="18">
        <f>+VLOOKUP(E$7-1+$C59,daily!$D$3:$E$1548,2,0)</f>
        <v>57</v>
      </c>
      <c r="F59" s="18">
        <f>+VLOOKUP(F$7-1+$C59,daily!$D$3:$E$1548,2,0)</f>
        <v>118</v>
      </c>
      <c r="G59" s="18">
        <f>+VLOOKUP(G$7-1+$C59,daily!$D$3:$E$1548,2,0)</f>
        <v>324</v>
      </c>
      <c r="H59" s="18">
        <f>+VLOOKUP(H$7-1+$C59,daily!$D$3:$E$1548,2,0)</f>
        <v>198</v>
      </c>
      <c r="I59" s="18">
        <f>+VLOOKUP(I$7-1+$C59,daily!$D$3:$E$1548,2,0)</f>
        <v>294</v>
      </c>
      <c r="J59" s="18">
        <f>+VLOOKUP(J$7-1+$C59,daily!$D$3:$E$1548,2,0)</f>
        <v>62</v>
      </c>
      <c r="K59" s="18">
        <f>+VLOOKUP(K$7-1+$C59,daily!$D$3:$E$1548,2,0)</f>
        <v>157</v>
      </c>
      <c r="L59" s="18">
        <f>+VLOOKUP(L$7-1+$C59,daily!$D$3:$E$1548,2,0)</f>
        <v>0</v>
      </c>
    </row>
    <row r="60" spans="2:12" ht="18.75" customHeight="1" x14ac:dyDescent="0.25">
      <c r="B60" s="19">
        <f t="shared" si="19"/>
        <v>8</v>
      </c>
      <c r="C60" s="17">
        <f t="shared" si="18"/>
        <v>50</v>
      </c>
      <c r="D60" s="18">
        <f>+VLOOKUP(D$7-1+$C60,daily!$D$3:$E$1548,2,0)</f>
        <v>374</v>
      </c>
      <c r="E60" s="18">
        <f>+VLOOKUP(E$7-1+$C60,daily!$D$3:$E$1548,2,0)</f>
        <v>68</v>
      </c>
      <c r="F60" s="18">
        <f>+VLOOKUP(F$7-1+$C60,daily!$D$3:$E$1548,2,0)</f>
        <v>127</v>
      </c>
      <c r="G60" s="18">
        <f>+VLOOKUP(G$7-1+$C60,daily!$D$3:$E$1548,2,0)</f>
        <v>0</v>
      </c>
      <c r="H60" s="18">
        <f>+VLOOKUP(H$7-1+$C60,daily!$D$3:$E$1548,2,0)</f>
        <v>234</v>
      </c>
      <c r="I60" s="18">
        <f>+VLOOKUP(I$7-1+$C60,daily!$D$3:$E$1548,2,0)</f>
        <v>638</v>
      </c>
      <c r="J60" s="18">
        <f>+VLOOKUP(J$7-1+$C60,daily!$D$3:$E$1548,2,0)</f>
        <v>84</v>
      </c>
      <c r="K60" s="18">
        <f>+VLOOKUP(K$7-1+$C60,daily!$D$3:$E$1548,2,0)</f>
        <v>102</v>
      </c>
      <c r="L60" s="18">
        <f>+VLOOKUP(L$7-1+$C60,daily!$D$3:$E$1548,2,0)</f>
        <v>0</v>
      </c>
    </row>
    <row r="61" spans="2:12" ht="18.75" customHeight="1" x14ac:dyDescent="0.25">
      <c r="B61" s="19">
        <f t="shared" si="19"/>
        <v>8</v>
      </c>
      <c r="C61" s="17">
        <f t="shared" si="18"/>
        <v>51</v>
      </c>
      <c r="D61" s="18">
        <f>+VLOOKUP(D$7-1+$C61,daily!$D$3:$E$1548,2,0)</f>
        <v>410</v>
      </c>
      <c r="E61" s="18">
        <f>+VLOOKUP(E$7-1+$C61,daily!$D$3:$E$1548,2,0)</f>
        <v>245</v>
      </c>
      <c r="F61" s="18">
        <f>+VLOOKUP(F$7-1+$C61,daily!$D$3:$E$1548,2,0)</f>
        <v>244</v>
      </c>
      <c r="G61" s="18">
        <f>+VLOOKUP(G$7-1+$C61,daily!$D$3:$E$1548,2,0)</f>
        <v>112</v>
      </c>
      <c r="H61" s="18">
        <f>+VLOOKUP(H$7-1+$C61,daily!$D$3:$E$1548,2,0)</f>
        <v>317</v>
      </c>
      <c r="I61" s="18">
        <f>+VLOOKUP(I$7-1+$C61,daily!$D$3:$E$1548,2,0)</f>
        <v>529</v>
      </c>
      <c r="J61" s="18">
        <f>+VLOOKUP(J$7-1+$C61,daily!$D$3:$E$1548,2,0)</f>
        <v>140</v>
      </c>
      <c r="K61" s="18">
        <f>+VLOOKUP(K$7-1+$C61,daily!$D$3:$E$1548,2,0)</f>
        <v>143</v>
      </c>
      <c r="L61" s="18">
        <f>+VLOOKUP(L$7-1+$C61,daily!$D$3:$E$1548,2,0)</f>
        <v>0</v>
      </c>
    </row>
    <row r="62" spans="2:12" ht="18.75" customHeight="1" x14ac:dyDescent="0.25">
      <c r="B62" s="19">
        <f t="shared" si="19"/>
        <v>8</v>
      </c>
      <c r="C62" s="17">
        <f t="shared" si="18"/>
        <v>52</v>
      </c>
      <c r="D62" s="18">
        <f>+VLOOKUP(D$7-1+$C62,daily!$D$3:$E$1548,2,0)</f>
        <v>764</v>
      </c>
      <c r="E62" s="18">
        <f>+VLOOKUP(E$7-1+$C62,daily!$D$3:$E$1548,2,0)</f>
        <v>158</v>
      </c>
      <c r="F62" s="18">
        <f>+VLOOKUP(F$7-1+$C62,daily!$D$3:$E$1548,2,0)</f>
        <v>569</v>
      </c>
      <c r="G62" s="18">
        <f>+VLOOKUP(G$7-1+$C62,daily!$D$3:$E$1548,2,0)</f>
        <v>126</v>
      </c>
      <c r="H62" s="18">
        <f>+VLOOKUP(H$7-1+$C62,daily!$D$3:$E$1548,2,0)</f>
        <v>280</v>
      </c>
      <c r="I62" s="18">
        <f>+VLOOKUP(I$7-1+$C62,daily!$D$3:$E$1548,2,0)</f>
        <v>280</v>
      </c>
      <c r="J62" s="18">
        <f>+VLOOKUP(J$7-1+$C62,daily!$D$3:$E$1548,2,0)</f>
        <v>106</v>
      </c>
      <c r="K62" s="18">
        <f>+VLOOKUP(K$7-1+$C62,daily!$D$3:$E$1548,2,0)</f>
        <v>125</v>
      </c>
      <c r="L62" s="18">
        <f>+VLOOKUP(L$7-1+$C62,daily!$D$3:$E$1548,2,0)</f>
        <v>0</v>
      </c>
    </row>
    <row r="63" spans="2:12" ht="18.75" customHeight="1" x14ac:dyDescent="0.25">
      <c r="B63" s="19">
        <f t="shared" si="19"/>
        <v>8</v>
      </c>
      <c r="C63" s="17">
        <f t="shared" si="18"/>
        <v>53</v>
      </c>
      <c r="D63" s="18">
        <f>+VLOOKUP(D$7-1+$C63,daily!$D$3:$E$1548,2,0)</f>
        <v>650</v>
      </c>
      <c r="E63" s="18">
        <f>+VLOOKUP(E$7-1+$C63,daily!$D$3:$E$1548,2,0)</f>
        <v>64</v>
      </c>
      <c r="F63" s="18">
        <f>+VLOOKUP(F$7-1+$C63,daily!$D$3:$E$1548,2,0)</f>
        <v>527</v>
      </c>
      <c r="G63" s="18">
        <f>+VLOOKUP(G$7-1+$C63,daily!$D$3:$E$1548,2,0)</f>
        <v>115</v>
      </c>
      <c r="H63" s="18">
        <f>+VLOOKUP(H$7-1+$C63,daily!$D$3:$E$1548,2,0)</f>
        <v>125</v>
      </c>
      <c r="I63" s="18">
        <f>+VLOOKUP(I$7-1+$C63,daily!$D$3:$E$1548,2,0)</f>
        <v>348</v>
      </c>
      <c r="J63" s="18">
        <f>+VLOOKUP(J$7-1+$C63,daily!$D$3:$E$1548,2,0)</f>
        <v>189</v>
      </c>
      <c r="K63" s="18">
        <f>+VLOOKUP(K$7-1+$C63,daily!$D$3:$E$1548,2,0)</f>
        <v>269</v>
      </c>
      <c r="L63" s="18">
        <f>+VLOOKUP(L$7-1+$C63,daily!$D$3:$E$1548,2,0)</f>
        <v>0</v>
      </c>
    </row>
    <row r="64" spans="2:12" ht="18.75" customHeight="1" x14ac:dyDescent="0.25">
      <c r="B64" s="19">
        <f t="shared" si="19"/>
        <v>8</v>
      </c>
      <c r="C64" s="17">
        <f t="shared" si="18"/>
        <v>54</v>
      </c>
      <c r="D64" s="18">
        <f>+VLOOKUP(D$7-1+$C64,daily!$D$3:$E$1548,2,0)</f>
        <v>346</v>
      </c>
      <c r="E64" s="18">
        <f>+VLOOKUP(E$7-1+$C64,daily!$D$3:$E$1548,2,0)</f>
        <v>89</v>
      </c>
      <c r="F64" s="18">
        <f>+VLOOKUP(F$7-1+$C64,daily!$D$3:$E$1548,2,0)</f>
        <v>124</v>
      </c>
      <c r="G64" s="18">
        <f>+VLOOKUP(G$7-1+$C64,daily!$D$3:$E$1548,2,0)</f>
        <v>154</v>
      </c>
      <c r="H64" s="18">
        <f>+VLOOKUP(H$7-1+$C64,daily!$D$3:$E$1548,2,0)</f>
        <v>104</v>
      </c>
      <c r="I64" s="18">
        <f>+VLOOKUP(I$7-1+$C64,daily!$D$3:$E$1548,2,0)</f>
        <v>241</v>
      </c>
      <c r="J64" s="18">
        <f>+VLOOKUP(J$7-1+$C64,daily!$D$3:$E$1548,2,0)</f>
        <v>177</v>
      </c>
      <c r="K64" s="18">
        <f>+VLOOKUP(K$7-1+$C64,daily!$D$3:$E$1548,2,0)</f>
        <v>502</v>
      </c>
      <c r="L64" s="18">
        <f>+VLOOKUP(L$7-1+$C64,daily!$D$3:$E$1548,2,0)</f>
        <v>0</v>
      </c>
    </row>
    <row r="65" spans="2:12" ht="18.75" customHeight="1" x14ac:dyDescent="0.25">
      <c r="B65" s="19">
        <f t="shared" si="19"/>
        <v>8</v>
      </c>
      <c r="C65" s="17">
        <f t="shared" si="18"/>
        <v>55</v>
      </c>
      <c r="D65" s="18">
        <f>+VLOOKUP(D$7-1+$C65,daily!$D$3:$E$1548,2,0)</f>
        <v>240</v>
      </c>
      <c r="E65" s="18">
        <f>+VLOOKUP(E$7-1+$C65,daily!$D$3:$E$1548,2,0)</f>
        <v>77</v>
      </c>
      <c r="F65" s="18">
        <f>+VLOOKUP(F$7-1+$C65,daily!$D$3:$E$1548,2,0)</f>
        <v>202</v>
      </c>
      <c r="G65" s="18">
        <f>+VLOOKUP(G$7-1+$C65,daily!$D$3:$E$1548,2,0)</f>
        <v>476</v>
      </c>
      <c r="H65" s="18">
        <f>+VLOOKUP(H$7-1+$C65,daily!$D$3:$E$1548,2,0)</f>
        <v>120</v>
      </c>
      <c r="I65" s="18">
        <f>+VLOOKUP(I$7-1+$C65,daily!$D$3:$E$1548,2,0)</f>
        <v>239</v>
      </c>
      <c r="J65" s="18">
        <f>+VLOOKUP(J$7-1+$C65,daily!$D$3:$E$1548,2,0)</f>
        <v>65</v>
      </c>
      <c r="K65" s="18">
        <f>+VLOOKUP(K$7-1+$C65,daily!$D$3:$E$1548,2,0)</f>
        <v>564</v>
      </c>
      <c r="L65" s="18">
        <f>+VLOOKUP(L$7-1+$C65,daily!$D$3:$E$1548,2,0)</f>
        <v>0</v>
      </c>
    </row>
    <row r="66" spans="2:12" ht="18.75" customHeight="1" x14ac:dyDescent="0.25">
      <c r="B66" s="19">
        <f t="shared" si="19"/>
        <v>8</v>
      </c>
      <c r="C66" s="17">
        <f t="shared" si="18"/>
        <v>56</v>
      </c>
      <c r="D66" s="18">
        <f>+VLOOKUP(D$7-1+$C66,daily!$D$3:$E$1548,2,0)</f>
        <v>221</v>
      </c>
      <c r="E66" s="18">
        <f>+VLOOKUP(E$7-1+$C66,daily!$D$3:$E$1548,2,0)</f>
        <v>84</v>
      </c>
      <c r="F66" s="18">
        <f>+VLOOKUP(F$7-1+$C66,daily!$D$3:$E$1548,2,0)</f>
        <v>252</v>
      </c>
      <c r="G66" s="18">
        <f>+VLOOKUP(G$7-1+$C66,daily!$D$3:$E$1548,2,0)</f>
        <v>264</v>
      </c>
      <c r="H66" s="18">
        <f>+VLOOKUP(H$7-1+$C66,daily!$D$3:$E$1548,2,0)</f>
        <v>86</v>
      </c>
      <c r="I66" s="18">
        <f>+VLOOKUP(I$7-1+$C66,daily!$D$3:$E$1548,2,0)</f>
        <v>273</v>
      </c>
      <c r="J66" s="18">
        <f>+VLOOKUP(J$7-1+$C66,daily!$D$3:$E$1548,2,0)</f>
        <v>76</v>
      </c>
      <c r="K66" s="18">
        <f>+VLOOKUP(K$7-1+$C66,daily!$D$3:$E$1548,2,0)</f>
        <v>135</v>
      </c>
      <c r="L66" s="18">
        <f>+VLOOKUP(L$7-1+$C66,daily!$D$3:$E$1548,2,0)</f>
        <v>0</v>
      </c>
    </row>
    <row r="67" spans="2:12" ht="18.75" customHeight="1" x14ac:dyDescent="0.25">
      <c r="B67" s="19">
        <f t="shared" si="19"/>
        <v>9</v>
      </c>
      <c r="C67" s="17">
        <f t="shared" si="18"/>
        <v>57</v>
      </c>
      <c r="D67" s="18">
        <f>+VLOOKUP(D$7-1+$C67,daily!$D$3:$E$1548,2,0)</f>
        <v>301</v>
      </c>
      <c r="E67" s="18">
        <f>+VLOOKUP(E$7-1+$C67,daily!$D$3:$E$1548,2,0)</f>
        <v>82</v>
      </c>
      <c r="F67" s="18">
        <f>+VLOOKUP(F$7-1+$C67,daily!$D$3:$E$1548,2,0)</f>
        <v>122</v>
      </c>
      <c r="G67" s="18">
        <f>+VLOOKUP(G$7-1+$C67,daily!$D$3:$E$1548,2,0)</f>
        <v>174</v>
      </c>
      <c r="H67" s="18">
        <f>+VLOOKUP(H$7-1+$C67,daily!$D$3:$E$1548,2,0)</f>
        <v>147</v>
      </c>
      <c r="I67" s="18">
        <f>+VLOOKUP(I$7-1+$C67,daily!$D$3:$E$1548,2,0)</f>
        <v>573</v>
      </c>
      <c r="J67" s="18">
        <f>+VLOOKUP(J$7-1+$C67,daily!$D$3:$E$1548,2,0)</f>
        <v>150</v>
      </c>
      <c r="K67" s="18">
        <f>+VLOOKUP(K$7-1+$C67,daily!$D$3:$E$1548,2,0)</f>
        <v>117</v>
      </c>
      <c r="L67" s="18">
        <f>+VLOOKUP(L$7-1+$C67,daily!$D$3:$E$1548,2,0)</f>
        <v>0</v>
      </c>
    </row>
    <row r="68" spans="2:12" ht="18.75" customHeight="1" x14ac:dyDescent="0.25">
      <c r="B68" s="19">
        <f t="shared" si="19"/>
        <v>9</v>
      </c>
      <c r="C68" s="17">
        <f t="shared" si="18"/>
        <v>58</v>
      </c>
      <c r="D68" s="18">
        <f>+VLOOKUP(D$7-1+$C68,daily!$D$3:$E$1548,2,0)</f>
        <v>383</v>
      </c>
      <c r="E68" s="18">
        <f>+VLOOKUP(E$7-1+$C68,daily!$D$3:$E$1548,2,0)</f>
        <v>313</v>
      </c>
      <c r="F68" s="18">
        <f>+VLOOKUP(F$7-1+$C68,daily!$D$3:$E$1548,2,0)</f>
        <v>243</v>
      </c>
      <c r="G68" s="18">
        <f>+VLOOKUP(G$7-1+$C68,daily!$D$3:$E$1548,2,0)</f>
        <v>124</v>
      </c>
      <c r="H68" s="18">
        <f>+VLOOKUP(H$7-1+$C68,daily!$D$3:$E$1548,2,0)</f>
        <v>348</v>
      </c>
      <c r="I68" s="18">
        <f>+VLOOKUP(I$7-1+$C68,daily!$D$3:$E$1548,2,0)</f>
        <v>504</v>
      </c>
      <c r="J68" s="18">
        <f>+VLOOKUP(J$7-1+$C68,daily!$D$3:$E$1548,2,0)</f>
        <v>110</v>
      </c>
      <c r="K68" s="18">
        <f>+VLOOKUP(K$7-1+$C68,daily!$D$3:$E$1548,2,0)</f>
        <v>157</v>
      </c>
      <c r="L68" s="18">
        <f>+VLOOKUP(L$7-1+$C68,daily!$D$3:$E$1548,2,0)</f>
        <v>0</v>
      </c>
    </row>
    <row r="69" spans="2:12" ht="18.75" customHeight="1" x14ac:dyDescent="0.25">
      <c r="B69" s="19">
        <f t="shared" si="19"/>
        <v>9</v>
      </c>
      <c r="C69" s="17">
        <f t="shared" si="18"/>
        <v>59</v>
      </c>
      <c r="D69" s="18">
        <f>+VLOOKUP(D$7-1+$C69,daily!$D$3:$E$1548,2,0)</f>
        <v>534</v>
      </c>
      <c r="E69" s="18">
        <f>+VLOOKUP(E$7-1+$C69,daily!$D$3:$E$1548,2,0)</f>
        <v>174</v>
      </c>
      <c r="F69" s="18">
        <f>+VLOOKUP(F$7-1+$C69,daily!$D$3:$E$1548,2,0)</f>
        <v>561</v>
      </c>
      <c r="G69" s="18">
        <f>+VLOOKUP(G$7-1+$C69,daily!$D$3:$E$1548,2,0)</f>
        <v>309</v>
      </c>
      <c r="H69" s="18">
        <f>+VLOOKUP(H$7-1+$C69,daily!$D$3:$E$1548,2,0)</f>
        <v>262</v>
      </c>
      <c r="I69" s="18">
        <f>+VLOOKUP(I$7-1+$C69,daily!$D$3:$E$1548,2,0)</f>
        <v>224</v>
      </c>
      <c r="J69" s="18">
        <f>+VLOOKUP(J$7-1+$C69,daily!$D$3:$E$1548,2,0)</f>
        <v>145</v>
      </c>
      <c r="K69" s="18">
        <f>+VLOOKUP(K$7-1+$C69,daily!$D$3:$E$1548,2,0)</f>
        <v>169</v>
      </c>
      <c r="L69" s="18">
        <f>+VLOOKUP(L$7-1+$C69,daily!$D$3:$E$1548,2,0)</f>
        <v>0</v>
      </c>
    </row>
    <row r="70" spans="2:12" ht="18.75" customHeight="1" x14ac:dyDescent="0.25">
      <c r="B70" s="19">
        <f t="shared" si="19"/>
        <v>9</v>
      </c>
      <c r="C70" s="17">
        <f t="shared" si="18"/>
        <v>60</v>
      </c>
      <c r="D70" s="18">
        <f>+VLOOKUP(D$7-1+$C70,daily!$D$3:$E$1548,2,0)</f>
        <v>412</v>
      </c>
      <c r="E70" s="18">
        <f>+VLOOKUP(E$7-1+$C70,daily!$D$3:$E$1548,2,0)</f>
        <v>0</v>
      </c>
      <c r="F70" s="18">
        <f>+VLOOKUP(F$7-1+$C70,daily!$D$3:$E$1548,2,0)</f>
        <v>515</v>
      </c>
      <c r="G70" s="18">
        <f>+VLOOKUP(G$7-1+$C70,daily!$D$3:$E$1548,2,0)</f>
        <v>228</v>
      </c>
      <c r="H70" s="18">
        <f>+VLOOKUP(H$7-1+$C70,daily!$D$3:$E$1548,2,0)</f>
        <v>99</v>
      </c>
      <c r="I70" s="18">
        <f>+VLOOKUP(I$7-1+$C70,daily!$D$3:$E$1548,2,0)</f>
        <v>196</v>
      </c>
      <c r="J70" s="18">
        <f>+VLOOKUP(J$7-1+$C70,daily!$D$3:$E$1548,2,0)</f>
        <v>223</v>
      </c>
      <c r="K70" s="18">
        <f>+VLOOKUP(K$7-1+$C70,daily!$D$3:$E$1548,2,0)</f>
        <v>263</v>
      </c>
      <c r="L70" s="18">
        <f>+VLOOKUP(L$7-1+$C70,daily!$D$3:$E$1548,2,0)</f>
        <v>0</v>
      </c>
    </row>
    <row r="71" spans="2:12" ht="18.75" customHeight="1" x14ac:dyDescent="0.25">
      <c r="B71" s="19">
        <f t="shared" si="19"/>
        <v>9</v>
      </c>
      <c r="C71" s="17">
        <f t="shared" si="18"/>
        <v>61</v>
      </c>
      <c r="D71" s="18">
        <f>+VLOOKUP(D$7-1+$C71,daily!$D$3:$E$1548,2,0)</f>
        <v>217</v>
      </c>
      <c r="E71" s="18">
        <f>+VLOOKUP(E$7-1+$C71,daily!$D$3:$E$1548,2,0)</f>
        <v>69</v>
      </c>
      <c r="F71" s="18">
        <f>+VLOOKUP(F$7-1+$C71,daily!$D$3:$E$1548,2,0)</f>
        <v>179</v>
      </c>
      <c r="G71" s="18">
        <f>+VLOOKUP(G$7-1+$C71,daily!$D$3:$E$1548,2,0)</f>
        <v>289</v>
      </c>
      <c r="H71" s="18">
        <f>+VLOOKUP(H$7-1+$C71,daily!$D$3:$E$1548,2,0)</f>
        <v>87</v>
      </c>
      <c r="I71" s="18">
        <f>+VLOOKUP(I$7-1+$C71,daily!$D$3:$E$1548,2,0)</f>
        <v>471</v>
      </c>
      <c r="J71" s="18">
        <f>+VLOOKUP(J$7-1+$C71,daily!$D$3:$E$1548,2,0)</f>
        <v>318</v>
      </c>
      <c r="K71" s="18">
        <f>+VLOOKUP(K$7-1+$C71,daily!$D$3:$E$1548,2,0)</f>
        <v>544</v>
      </c>
      <c r="L71" s="18">
        <f>+VLOOKUP(L$7-1+$C71,daily!$D$3:$E$1548,2,0)</f>
        <v>0</v>
      </c>
    </row>
    <row r="72" spans="2:12" ht="18.75" customHeight="1" x14ac:dyDescent="0.25">
      <c r="B72" s="19">
        <f t="shared" si="19"/>
        <v>9</v>
      </c>
      <c r="C72" s="17">
        <f t="shared" si="18"/>
        <v>62</v>
      </c>
      <c r="D72" s="18">
        <f>+VLOOKUP(D$7-1+$C72,daily!$D$3:$E$1548,2,0)</f>
        <v>167</v>
      </c>
      <c r="E72" s="18">
        <f>+VLOOKUP(E$7-1+$C72,daily!$D$3:$E$1548,2,0)</f>
        <v>62</v>
      </c>
      <c r="F72" s="18">
        <f>+VLOOKUP(F$7-1+$C72,daily!$D$3:$E$1548,2,0)</f>
        <v>169</v>
      </c>
      <c r="G72" s="18">
        <f>+VLOOKUP(G$7-1+$C72,daily!$D$3:$E$1548,2,0)</f>
        <v>564</v>
      </c>
      <c r="H72" s="18">
        <f>+VLOOKUP(H$7-1+$C72,daily!$D$3:$E$1548,2,0)</f>
        <v>169</v>
      </c>
      <c r="I72" s="18">
        <f>+VLOOKUP(I$7-1+$C72,daily!$D$3:$E$1548,2,0)</f>
        <v>228</v>
      </c>
      <c r="J72" s="18">
        <f>+VLOOKUP(J$7-1+$C72,daily!$D$3:$E$1548,2,0)</f>
        <v>140</v>
      </c>
      <c r="K72" s="18">
        <f>+VLOOKUP(K$7-1+$C72,daily!$D$3:$E$1548,2,0)</f>
        <v>532</v>
      </c>
      <c r="L72" s="18">
        <f>+VLOOKUP(L$7-1+$C72,daily!$D$3:$E$1548,2,0)</f>
        <v>0</v>
      </c>
    </row>
    <row r="73" spans="2:12" ht="18.75" customHeight="1" x14ac:dyDescent="0.25">
      <c r="B73" s="19">
        <f t="shared" si="19"/>
        <v>9</v>
      </c>
      <c r="C73" s="17">
        <f t="shared" si="18"/>
        <v>63</v>
      </c>
      <c r="D73" s="18">
        <f>+VLOOKUP(D$7-1+$C73,daily!$D$3:$E$1548,2,0)</f>
        <v>187</v>
      </c>
      <c r="E73" s="18">
        <f>+VLOOKUP(E$7-1+$C73,daily!$D$3:$E$1548,2,0)</f>
        <v>115</v>
      </c>
      <c r="F73" s="18">
        <f>+VLOOKUP(F$7-1+$C73,daily!$D$3:$E$1548,2,0)</f>
        <v>216</v>
      </c>
      <c r="G73" s="18">
        <f>+VLOOKUP(G$7-1+$C73,daily!$D$3:$E$1548,2,0)</f>
        <v>327</v>
      </c>
      <c r="H73" s="18">
        <f>+VLOOKUP(H$7-1+$C73,daily!$D$3:$E$1548,2,0)</f>
        <v>73</v>
      </c>
      <c r="I73" s="18">
        <f>+VLOOKUP(I$7-1+$C73,daily!$D$3:$E$1548,2,0)</f>
        <v>234</v>
      </c>
      <c r="J73" s="18">
        <f>+VLOOKUP(J$7-1+$C73,daily!$D$3:$E$1548,2,0)</f>
        <v>81</v>
      </c>
      <c r="K73" s="18">
        <f>+VLOOKUP(K$7-1+$C73,daily!$D$3:$E$1548,2,0)</f>
        <v>136</v>
      </c>
      <c r="L73" s="18">
        <f>+VLOOKUP(L$7-1+$C73,daily!$D$3:$E$1548,2,0)</f>
        <v>0</v>
      </c>
    </row>
    <row r="74" spans="2:12" ht="18.75" customHeight="1" x14ac:dyDescent="0.25">
      <c r="B74" s="19">
        <f t="shared" si="19"/>
        <v>10</v>
      </c>
      <c r="C74" s="17">
        <f t="shared" si="18"/>
        <v>64</v>
      </c>
      <c r="D74" s="18">
        <f>+VLOOKUP(D$7-1+$C74,daily!$D$3:$E$1548,2,0)</f>
        <v>180</v>
      </c>
      <c r="E74" s="18">
        <f>+VLOOKUP(E$7-1+$C74,daily!$D$3:$E$1548,2,0)</f>
        <v>130</v>
      </c>
      <c r="F74" s="18">
        <f>+VLOOKUP(F$7-1+$C74,daily!$D$3:$E$1548,2,0)</f>
        <v>109</v>
      </c>
      <c r="G74" s="18">
        <f>+VLOOKUP(G$7-1+$C74,daily!$D$3:$E$1548,2,0)</f>
        <v>131</v>
      </c>
      <c r="H74" s="18">
        <f>+VLOOKUP(H$7-1+$C74,daily!$D$3:$E$1548,2,0)</f>
        <v>136</v>
      </c>
      <c r="I74" s="18">
        <f>+VLOOKUP(I$7-1+$C74,daily!$D$3:$E$1548,2,0)</f>
        <v>554</v>
      </c>
      <c r="J74" s="18">
        <f>+VLOOKUP(J$7-1+$C74,daily!$D$3:$E$1548,2,0)</f>
        <v>137</v>
      </c>
      <c r="K74" s="18">
        <f>+VLOOKUP(K$7-1+$C74,daily!$D$3:$E$1548,2,0)</f>
        <v>138</v>
      </c>
      <c r="L74" s="18">
        <f>+VLOOKUP(L$7-1+$C74,daily!$D$3:$E$1548,2,0)</f>
        <v>0</v>
      </c>
    </row>
    <row r="75" spans="2:12" ht="18.75" customHeight="1" x14ac:dyDescent="0.25">
      <c r="B75" s="19">
        <f t="shared" si="19"/>
        <v>10</v>
      </c>
      <c r="C75" s="17">
        <f t="shared" si="18"/>
        <v>65</v>
      </c>
      <c r="D75" s="18">
        <f>+VLOOKUP(D$7-1+$C75,daily!$D$3:$E$1548,2,0)</f>
        <v>246</v>
      </c>
      <c r="E75" s="18">
        <f>+VLOOKUP(E$7-1+$C75,daily!$D$3:$E$1548,2,0)</f>
        <v>337</v>
      </c>
      <c r="F75" s="18">
        <f>+VLOOKUP(F$7-1+$C75,daily!$D$3:$E$1548,2,0)</f>
        <v>152</v>
      </c>
      <c r="G75" s="18">
        <f>+VLOOKUP(G$7-1+$C75,daily!$D$3:$E$1548,2,0)</f>
        <v>149</v>
      </c>
      <c r="H75" s="18">
        <f>+VLOOKUP(H$7-1+$C75,daily!$D$3:$E$1548,2,0)</f>
        <v>400</v>
      </c>
      <c r="I75" s="18">
        <f>+VLOOKUP(I$7-1+$C75,daily!$D$3:$E$1548,2,0)</f>
        <v>465</v>
      </c>
      <c r="J75" s="18">
        <f>+VLOOKUP(J$7-1+$C75,daily!$D$3:$E$1548,2,0)</f>
        <v>120</v>
      </c>
      <c r="K75" s="18">
        <f>+VLOOKUP(K$7-1+$C75,daily!$D$3:$E$1548,2,0)</f>
        <v>146</v>
      </c>
      <c r="L75" s="18">
        <f>+VLOOKUP(L$7-1+$C75,daily!$D$3:$E$1548,2,0)</f>
        <v>0</v>
      </c>
    </row>
    <row r="76" spans="2:12" ht="18.75" customHeight="1" x14ac:dyDescent="0.25">
      <c r="B76" s="19">
        <f t="shared" si="19"/>
        <v>10</v>
      </c>
      <c r="C76" s="17">
        <f t="shared" si="18"/>
        <v>66</v>
      </c>
      <c r="D76" s="18">
        <f>+VLOOKUP(D$7-1+$C76,daily!$D$3:$E$1548,2,0)</f>
        <v>439</v>
      </c>
      <c r="E76" s="18">
        <f>+VLOOKUP(E$7-1+$C76,daily!$D$3:$E$1548,2,0)</f>
        <v>214</v>
      </c>
      <c r="F76" s="18">
        <f>+VLOOKUP(F$7-1+$C76,daily!$D$3:$E$1548,2,0)</f>
        <v>493</v>
      </c>
      <c r="G76" s="18">
        <f>+VLOOKUP(G$7-1+$C76,daily!$D$3:$E$1548,2,0)</f>
        <v>80</v>
      </c>
      <c r="H76" s="18">
        <f>+VLOOKUP(H$7-1+$C76,daily!$D$3:$E$1548,2,0)</f>
        <v>439</v>
      </c>
      <c r="I76" s="18">
        <f>+VLOOKUP(I$7-1+$C76,daily!$D$3:$E$1548,2,0)</f>
        <v>259</v>
      </c>
      <c r="J76" s="18">
        <f>+VLOOKUP(J$7-1+$C76,daily!$D$3:$E$1548,2,0)</f>
        <v>166</v>
      </c>
      <c r="K76" s="18">
        <f>+VLOOKUP(K$7-1+$C76,daily!$D$3:$E$1548,2,0)</f>
        <v>118</v>
      </c>
      <c r="L76" s="18">
        <f>+VLOOKUP(L$7-1+$C76,daily!$D$3:$E$1548,2,0)</f>
        <v>0</v>
      </c>
    </row>
    <row r="77" spans="2:12" ht="18.75" customHeight="1" x14ac:dyDescent="0.25">
      <c r="B77" s="19">
        <f t="shared" si="19"/>
        <v>10</v>
      </c>
      <c r="C77" s="17">
        <f t="shared" ref="C77:C146" si="27">+C76+1</f>
        <v>67</v>
      </c>
      <c r="D77" s="18">
        <f>+VLOOKUP(D$7-1+$C77,daily!$D$3:$E$1548,2,0)</f>
        <v>248</v>
      </c>
      <c r="E77" s="18">
        <f>+VLOOKUP(E$7-1+$C77,daily!$D$3:$E$1548,2,0)</f>
        <v>141</v>
      </c>
      <c r="F77" s="18">
        <f>+VLOOKUP(F$7-1+$C77,daily!$D$3:$E$1548,2,0)</f>
        <v>388</v>
      </c>
      <c r="G77" s="18">
        <f>+VLOOKUP(G$7-1+$C77,daily!$D$3:$E$1548,2,0)</f>
        <v>317</v>
      </c>
      <c r="H77" s="18">
        <f>+VLOOKUP(H$7-1+$C77,daily!$D$3:$E$1548,2,0)</f>
        <v>355</v>
      </c>
      <c r="I77" s="18">
        <f>+VLOOKUP(I$7-1+$C77,daily!$D$3:$E$1548,2,0)</f>
        <v>246</v>
      </c>
      <c r="J77" s="18">
        <f>+VLOOKUP(J$7-1+$C77,daily!$D$3:$E$1548,2,0)</f>
        <v>251</v>
      </c>
      <c r="K77" s="18">
        <f>+VLOOKUP(K$7-1+$C77,daily!$D$3:$E$1548,2,0)</f>
        <v>159</v>
      </c>
      <c r="L77" s="18">
        <f>+VLOOKUP(L$7-1+$C77,daily!$D$3:$E$1548,2,0)</f>
        <v>0</v>
      </c>
    </row>
    <row r="78" spans="2:12" ht="18.75" customHeight="1" x14ac:dyDescent="0.25">
      <c r="B78" s="19">
        <f t="shared" si="19"/>
        <v>10</v>
      </c>
      <c r="C78" s="17">
        <f t="shared" si="27"/>
        <v>68</v>
      </c>
      <c r="D78" s="18">
        <f>+VLOOKUP(D$7-1+$C78,daily!$D$3:$E$1548,2,0)</f>
        <v>151</v>
      </c>
      <c r="E78" s="18">
        <f>+VLOOKUP(E$7-1+$C78,daily!$D$3:$E$1548,2,0)</f>
        <v>82</v>
      </c>
      <c r="F78" s="18">
        <f>+VLOOKUP(F$7-1+$C78,daily!$D$3:$E$1548,2,0)</f>
        <v>108</v>
      </c>
      <c r="G78" s="18">
        <f>+VLOOKUP(G$7-1+$C78,daily!$D$3:$E$1548,2,0)</f>
        <v>258</v>
      </c>
      <c r="H78" s="18">
        <f>+VLOOKUP(H$7-1+$C78,daily!$D$3:$E$1548,2,0)</f>
        <v>61</v>
      </c>
      <c r="I78" s="18">
        <f>+VLOOKUP(I$7-1+$C78,daily!$D$3:$E$1548,2,0)</f>
        <v>526</v>
      </c>
      <c r="J78" s="18">
        <f>+VLOOKUP(J$7-1+$C78,daily!$D$3:$E$1548,2,0)</f>
        <v>323</v>
      </c>
      <c r="K78" s="18">
        <f>+VLOOKUP(K$7-1+$C78,daily!$D$3:$E$1548,2,0)</f>
        <v>502</v>
      </c>
      <c r="L78" s="18">
        <f>+VLOOKUP(L$7-1+$C78,daily!$D$3:$E$1548,2,0)</f>
        <v>0</v>
      </c>
    </row>
    <row r="79" spans="2:12" ht="18.75" customHeight="1" x14ac:dyDescent="0.25">
      <c r="B79" s="19">
        <f t="shared" si="19"/>
        <v>10</v>
      </c>
      <c r="C79" s="17">
        <f t="shared" si="27"/>
        <v>69</v>
      </c>
      <c r="D79" s="18">
        <f>+VLOOKUP(D$7-1+$C79,daily!$D$3:$E$1548,2,0)</f>
        <v>173</v>
      </c>
      <c r="E79" s="18">
        <f>+VLOOKUP(E$7-1+$C79,daily!$D$3:$E$1548,2,0)</f>
        <v>79</v>
      </c>
      <c r="F79" s="18">
        <f>+VLOOKUP(F$7-1+$C79,daily!$D$3:$E$1548,2,0)</f>
        <v>92</v>
      </c>
      <c r="G79" s="18">
        <f>+VLOOKUP(G$7-1+$C79,daily!$D$3:$E$1548,2,0)</f>
        <v>455</v>
      </c>
      <c r="H79" s="18">
        <f>+VLOOKUP(H$7-1+$C79,daily!$D$3:$E$1548,2,0)</f>
        <v>78</v>
      </c>
      <c r="I79" s="18">
        <f>+VLOOKUP(I$7-1+$C79,daily!$D$3:$E$1548,2,0)</f>
        <v>137</v>
      </c>
      <c r="J79" s="18">
        <f>+VLOOKUP(J$7-1+$C79,daily!$D$3:$E$1548,2,0)</f>
        <v>21</v>
      </c>
      <c r="K79" s="18">
        <f>+VLOOKUP(K$7-1+$C79,daily!$D$3:$E$1548,2,0)</f>
        <v>464</v>
      </c>
      <c r="L79" s="18">
        <f>+VLOOKUP(L$7-1+$C79,daily!$D$3:$E$1548,2,0)</f>
        <v>0</v>
      </c>
    </row>
    <row r="80" spans="2:12" ht="18.75" customHeight="1" x14ac:dyDescent="0.25">
      <c r="B80" s="19">
        <f t="shared" si="19"/>
        <v>10</v>
      </c>
      <c r="C80" s="17">
        <f t="shared" si="27"/>
        <v>70</v>
      </c>
      <c r="D80" s="18">
        <f>+VLOOKUP(D$7-1+$C80,daily!$D$3:$E$1548,2,0)</f>
        <v>129</v>
      </c>
      <c r="E80" s="18">
        <f>+VLOOKUP(E$7-1+$C80,daily!$D$3:$E$1548,2,0)</f>
        <v>146</v>
      </c>
      <c r="F80" s="18">
        <f>+VLOOKUP(F$7-1+$C80,daily!$D$3:$E$1548,2,0)</f>
        <v>70</v>
      </c>
      <c r="G80" s="18">
        <f>+VLOOKUP(G$7-1+$C80,daily!$D$3:$E$1548,2,0)</f>
        <v>300</v>
      </c>
      <c r="H80" s="18">
        <f>+VLOOKUP(H$7-1+$C80,daily!$D$3:$E$1548,2,0)</f>
        <v>92</v>
      </c>
      <c r="I80" s="18">
        <f>+VLOOKUP(I$7-1+$C80,daily!$D$3:$E$1548,2,0)</f>
        <v>192</v>
      </c>
      <c r="J80" s="18">
        <f>+VLOOKUP(J$7-1+$C80,daily!$D$3:$E$1548,2,0)</f>
        <v>123</v>
      </c>
      <c r="K80" s="18">
        <f>+VLOOKUP(K$7-1+$C80,daily!$D$3:$E$1548,2,0)</f>
        <v>94</v>
      </c>
      <c r="L80" s="18">
        <f>+VLOOKUP(L$7-1+$C80,daily!$D$3:$E$1548,2,0)</f>
        <v>0</v>
      </c>
    </row>
    <row r="81" spans="2:12" ht="18.75" customHeight="1" x14ac:dyDescent="0.25">
      <c r="B81" s="19">
        <f t="shared" si="19"/>
        <v>11</v>
      </c>
      <c r="C81" s="17">
        <f t="shared" si="27"/>
        <v>71</v>
      </c>
      <c r="D81" s="18">
        <f>+VLOOKUP(D$7-1+$C81,daily!$D$3:$E$1548,2,0)</f>
        <v>156</v>
      </c>
      <c r="E81" s="18">
        <f>+VLOOKUP(E$7-1+$C81,daily!$D$3:$E$1548,2,0)</f>
        <v>132</v>
      </c>
      <c r="F81" s="18">
        <f>+VLOOKUP(F$7-1+$C81,daily!$D$3:$E$1548,2,0)</f>
        <v>100</v>
      </c>
      <c r="G81" s="18">
        <f>+VLOOKUP(G$7-1+$C81,daily!$D$3:$E$1548,2,0)</f>
        <v>114</v>
      </c>
      <c r="H81" s="18">
        <f>+VLOOKUP(H$7-1+$C81,daily!$D$3:$E$1548,2,0)</f>
        <v>134</v>
      </c>
      <c r="I81" s="18">
        <f>+VLOOKUP(I$7-1+$C81,daily!$D$3:$E$1548,2,0)</f>
        <v>460</v>
      </c>
      <c r="J81" s="18">
        <f>+VLOOKUP(J$7-1+$C81,daily!$D$3:$E$1548,2,0)</f>
        <v>148</v>
      </c>
      <c r="K81" s="18">
        <f>+VLOOKUP(K$7-1+$C81,daily!$D$3:$E$1548,2,0)</f>
        <v>139</v>
      </c>
      <c r="L81" s="18">
        <f>+VLOOKUP(L$7-1+$C81,daily!$D$3:$E$1548,2,0)</f>
        <v>0</v>
      </c>
    </row>
    <row r="82" spans="2:12" ht="18.75" customHeight="1" x14ac:dyDescent="0.25">
      <c r="B82" s="19">
        <f t="shared" si="19"/>
        <v>11</v>
      </c>
      <c r="C82" s="17">
        <f t="shared" si="27"/>
        <v>72</v>
      </c>
      <c r="D82" s="18">
        <f>+VLOOKUP(D$7-1+$C82,daily!$D$3:$E$1548,2,0)</f>
        <v>211</v>
      </c>
      <c r="E82" s="18">
        <f>+VLOOKUP(E$7-1+$C82,daily!$D$3:$E$1548,2,0)</f>
        <v>543</v>
      </c>
      <c r="F82" s="18">
        <f>+VLOOKUP(F$7-1+$C82,daily!$D$3:$E$1548,2,0)</f>
        <v>134</v>
      </c>
      <c r="G82" s="18">
        <f>+VLOOKUP(G$7-1+$C82,daily!$D$3:$E$1548,2,0)</f>
        <v>106</v>
      </c>
      <c r="H82" s="18">
        <f>+VLOOKUP(H$7-1+$C82,daily!$D$3:$E$1548,2,0)</f>
        <v>450</v>
      </c>
      <c r="I82" s="18">
        <f>+VLOOKUP(I$7-1+$C82,daily!$D$3:$E$1548,2,0)</f>
        <v>447</v>
      </c>
      <c r="J82" s="18">
        <f>+VLOOKUP(J$7-1+$C82,daily!$D$3:$E$1548,2,0)</f>
        <v>81</v>
      </c>
      <c r="K82" s="18">
        <f>+VLOOKUP(K$7-1+$C82,daily!$D$3:$E$1548,2,0)</f>
        <v>135</v>
      </c>
      <c r="L82" s="18">
        <f>+VLOOKUP(L$7-1+$C82,daily!$D$3:$E$1548,2,0)</f>
        <v>0</v>
      </c>
    </row>
    <row r="83" spans="2:12" ht="18.75" customHeight="1" x14ac:dyDescent="0.25">
      <c r="B83" s="19">
        <f t="shared" ref="B83:B146" si="28">+B76+1</f>
        <v>11</v>
      </c>
      <c r="C83" s="17">
        <f t="shared" si="27"/>
        <v>73</v>
      </c>
      <c r="D83" s="18">
        <f>+VLOOKUP(D$7-1+$C83,daily!$D$3:$E$1548,2,0)</f>
        <v>278</v>
      </c>
      <c r="E83" s="18">
        <f>+VLOOKUP(E$7-1+$C83,daily!$D$3:$E$1548,2,0)</f>
        <v>353</v>
      </c>
      <c r="F83" s="18">
        <f>+VLOOKUP(F$7-1+$C83,daily!$D$3:$E$1548,2,0)</f>
        <v>316</v>
      </c>
      <c r="G83" s="18">
        <f>+VLOOKUP(G$7-1+$C83,daily!$D$3:$E$1548,2,0)</f>
        <v>94</v>
      </c>
      <c r="H83" s="18">
        <f>+VLOOKUP(H$7-1+$C83,daily!$D$3:$E$1548,2,0)</f>
        <v>510</v>
      </c>
      <c r="I83" s="18">
        <f>+VLOOKUP(I$7-1+$C83,daily!$D$3:$E$1548,2,0)</f>
        <v>44</v>
      </c>
      <c r="J83" s="18">
        <f>+VLOOKUP(J$7-1+$C83,daily!$D$3:$E$1548,2,0)</f>
        <v>400</v>
      </c>
      <c r="K83" s="18">
        <f>+VLOOKUP(K$7-1+$C83,daily!$D$3:$E$1548,2,0)</f>
        <v>250</v>
      </c>
      <c r="L83" s="18">
        <f>+VLOOKUP(L$7-1+$C83,daily!$D$3:$E$1548,2,0)</f>
        <v>0</v>
      </c>
    </row>
    <row r="84" spans="2:12" ht="18.75" customHeight="1" x14ac:dyDescent="0.25">
      <c r="B84" s="19">
        <f t="shared" si="28"/>
        <v>11</v>
      </c>
      <c r="C84" s="17">
        <f t="shared" si="27"/>
        <v>74</v>
      </c>
      <c r="D84" s="18">
        <f>+VLOOKUP(D$7-1+$C84,daily!$D$3:$E$1548,2,0)</f>
        <v>291</v>
      </c>
      <c r="E84" s="18">
        <f>+VLOOKUP(E$7-1+$C84,daily!$D$3:$E$1548,2,0)</f>
        <v>150</v>
      </c>
      <c r="F84" s="18">
        <f>+VLOOKUP(F$7-1+$C84,daily!$D$3:$E$1548,2,0)</f>
        <v>302</v>
      </c>
      <c r="G84" s="18">
        <f>+VLOOKUP(G$7-1+$C84,daily!$D$3:$E$1548,2,0)</f>
        <v>111</v>
      </c>
      <c r="H84" s="18">
        <f>+VLOOKUP(H$7-1+$C84,daily!$D$3:$E$1548,2,0)</f>
        <v>372</v>
      </c>
      <c r="I84" s="18">
        <f>+VLOOKUP(I$7-1+$C84,daily!$D$3:$E$1548,2,0)</f>
        <v>130</v>
      </c>
      <c r="J84" s="18">
        <f>+VLOOKUP(J$7-1+$C84,daily!$D$3:$E$1548,2,0)</f>
        <v>408</v>
      </c>
      <c r="K84" s="18">
        <f>+VLOOKUP(K$7-1+$C84,daily!$D$3:$E$1548,2,0)</f>
        <v>193</v>
      </c>
      <c r="L84" s="18">
        <f>+VLOOKUP(L$7-1+$C84,daily!$D$3:$E$1548,2,0)</f>
        <v>0</v>
      </c>
    </row>
    <row r="85" spans="2:12" ht="18.75" customHeight="1" x14ac:dyDescent="0.25">
      <c r="B85" s="19">
        <f t="shared" si="28"/>
        <v>11</v>
      </c>
      <c r="C85" s="17">
        <f t="shared" si="27"/>
        <v>75</v>
      </c>
      <c r="D85" s="18">
        <f>+VLOOKUP(D$7-1+$C85,daily!$D$3:$E$1548,2,0)</f>
        <v>195</v>
      </c>
      <c r="E85" s="18">
        <f>+VLOOKUP(E$7-1+$C85,daily!$D$3:$E$1548,2,0)</f>
        <v>87</v>
      </c>
      <c r="F85" s="18">
        <f>+VLOOKUP(F$7-1+$C85,daily!$D$3:$E$1548,2,0)</f>
        <v>96</v>
      </c>
      <c r="G85" s="18">
        <f>+VLOOKUP(G$7-1+$C85,daily!$D$3:$E$1548,2,0)</f>
        <v>108</v>
      </c>
      <c r="H85" s="18">
        <f>+VLOOKUP(H$7-1+$C85,daily!$D$3:$E$1548,2,0)</f>
        <v>82</v>
      </c>
      <c r="I85" s="18">
        <f>+VLOOKUP(I$7-1+$C85,daily!$D$3:$E$1548,2,0)</f>
        <v>179</v>
      </c>
      <c r="J85" s="18">
        <f>+VLOOKUP(J$7-1+$C85,daily!$D$3:$E$1548,2,0)</f>
        <v>384</v>
      </c>
      <c r="K85" s="18">
        <f>+VLOOKUP(K$7-1+$C85,daily!$D$3:$E$1548,2,0)</f>
        <v>602</v>
      </c>
      <c r="L85" s="18">
        <f>+VLOOKUP(L$7-1+$C85,daily!$D$3:$E$1548,2,0)</f>
        <v>0</v>
      </c>
    </row>
    <row r="86" spans="2:12" ht="18.75" customHeight="1" x14ac:dyDescent="0.25">
      <c r="B86" s="19">
        <f t="shared" si="28"/>
        <v>11</v>
      </c>
      <c r="C86" s="17">
        <f t="shared" si="27"/>
        <v>76</v>
      </c>
      <c r="D86" s="18">
        <f>+VLOOKUP(D$7-1+$C86,daily!$D$3:$E$1548,2,0)</f>
        <v>172</v>
      </c>
      <c r="E86" s="18">
        <f>+VLOOKUP(E$7-1+$C86,daily!$D$3:$E$1548,2,0)</f>
        <v>241</v>
      </c>
      <c r="F86" s="18">
        <f>+VLOOKUP(F$7-1+$C86,daily!$D$3:$E$1548,2,0)</f>
        <v>63</v>
      </c>
      <c r="G86" s="18">
        <f>+VLOOKUP(G$7-1+$C86,daily!$D$3:$E$1548,2,0)</f>
        <v>604</v>
      </c>
      <c r="H86" s="18">
        <f>+VLOOKUP(H$7-1+$C86,daily!$D$3:$E$1548,2,0)</f>
        <v>124</v>
      </c>
      <c r="I86" s="18">
        <f>+VLOOKUP(I$7-1+$C86,daily!$D$3:$E$1548,2,0)</f>
        <v>152</v>
      </c>
      <c r="J86" s="18">
        <f>+VLOOKUP(J$7-1+$C86,daily!$D$3:$E$1548,2,0)</f>
        <v>147</v>
      </c>
      <c r="K86" s="18">
        <f>+VLOOKUP(K$7-1+$C86,daily!$D$3:$E$1548,2,0)</f>
        <v>482</v>
      </c>
      <c r="L86" s="18">
        <f>+VLOOKUP(L$7-1+$C86,daily!$D$3:$E$1548,2,0)</f>
        <v>0</v>
      </c>
    </row>
    <row r="87" spans="2:12" ht="18.75" customHeight="1" x14ac:dyDescent="0.25">
      <c r="B87" s="19">
        <f t="shared" si="28"/>
        <v>11</v>
      </c>
      <c r="C87" s="17">
        <f t="shared" si="27"/>
        <v>77</v>
      </c>
      <c r="D87" s="18">
        <f>+VLOOKUP(D$7-1+$C87,daily!$D$3:$E$1548,2,0)</f>
        <v>164</v>
      </c>
      <c r="E87" s="18">
        <f>+VLOOKUP(E$7-1+$C87,daily!$D$3:$E$1548,2,0)</f>
        <v>238</v>
      </c>
      <c r="F87" s="18">
        <f>+VLOOKUP(F$7-1+$C87,daily!$D$3:$E$1548,2,0)</f>
        <v>102</v>
      </c>
      <c r="G87" s="18">
        <f>+VLOOKUP(G$7-1+$C87,daily!$D$3:$E$1548,2,0)</f>
        <v>456</v>
      </c>
      <c r="H87" s="18">
        <f>+VLOOKUP(H$7-1+$C87,daily!$D$3:$E$1548,2,0)</f>
        <v>70</v>
      </c>
      <c r="I87" s="18">
        <f>+VLOOKUP(I$7-1+$C87,daily!$D$3:$E$1548,2,0)</f>
        <v>213</v>
      </c>
      <c r="J87" s="18">
        <f>+VLOOKUP(J$7-1+$C87,daily!$D$3:$E$1548,2,0)</f>
        <v>87</v>
      </c>
      <c r="K87" s="18">
        <f>+VLOOKUP(K$7-1+$C87,daily!$D$3:$E$1548,2,0)</f>
        <v>161</v>
      </c>
      <c r="L87" s="18">
        <f>+VLOOKUP(L$7-1+$C87,daily!$D$3:$E$1548,2,0)</f>
        <v>0</v>
      </c>
    </row>
    <row r="88" spans="2:12" ht="18.75" customHeight="1" x14ac:dyDescent="0.25">
      <c r="B88" s="19">
        <f t="shared" si="28"/>
        <v>12</v>
      </c>
      <c r="C88" s="17">
        <f t="shared" si="27"/>
        <v>78</v>
      </c>
      <c r="D88" s="18">
        <f>+VLOOKUP(D$7-1+$C88,daily!$D$3:$E$1548,2,0)</f>
        <v>247</v>
      </c>
      <c r="E88" s="18">
        <f>+VLOOKUP(E$7-1+$C88,daily!$D$3:$E$1548,2,0)</f>
        <v>251</v>
      </c>
      <c r="F88" s="18">
        <f>+VLOOKUP(F$7-1+$C88,daily!$D$3:$E$1548,2,0)</f>
        <v>133</v>
      </c>
      <c r="G88" s="18">
        <f>+VLOOKUP(G$7-1+$C88,daily!$D$3:$E$1548,2,0)</f>
        <v>127</v>
      </c>
      <c r="H88" s="18">
        <f>+VLOOKUP(H$7-1+$C88,daily!$D$3:$E$1548,2,0)</f>
        <v>192</v>
      </c>
      <c r="I88" s="18">
        <f>+VLOOKUP(I$7-1+$C88,daily!$D$3:$E$1548,2,0)</f>
        <v>575</v>
      </c>
      <c r="J88" s="18">
        <f>+VLOOKUP(J$7-1+$C88,daily!$D$3:$E$1548,2,0)</f>
        <v>122</v>
      </c>
      <c r="K88" s="18">
        <f>+VLOOKUP(K$7-1+$C88,daily!$D$3:$E$1548,2,0)</f>
        <v>188</v>
      </c>
      <c r="L88" s="18">
        <f>+VLOOKUP(L$7-1+$C88,daily!$D$3:$E$1548,2,0)</f>
        <v>0</v>
      </c>
    </row>
    <row r="89" spans="2:12" ht="18.75" customHeight="1" x14ac:dyDescent="0.25">
      <c r="B89" s="19">
        <f t="shared" si="28"/>
        <v>12</v>
      </c>
      <c r="C89" s="17">
        <f t="shared" si="27"/>
        <v>79</v>
      </c>
      <c r="D89" s="18">
        <f>+VLOOKUP(D$7-1+$C89,daily!$D$3:$E$1548,2,0)</f>
        <v>415</v>
      </c>
      <c r="E89" s="18">
        <f>+VLOOKUP(E$7-1+$C89,daily!$D$3:$E$1548,2,0)</f>
        <v>656</v>
      </c>
      <c r="F89" s="18">
        <f>+VLOOKUP(F$7-1+$C89,daily!$D$3:$E$1548,2,0)</f>
        <v>119</v>
      </c>
      <c r="G89" s="18">
        <f>+VLOOKUP(G$7-1+$C89,daily!$D$3:$E$1548,2,0)</f>
        <v>130</v>
      </c>
      <c r="H89" s="18">
        <f>+VLOOKUP(H$7-1+$C89,daily!$D$3:$E$1548,2,0)</f>
        <v>524</v>
      </c>
      <c r="I89" s="18">
        <f>+VLOOKUP(I$7-1+$C89,daily!$D$3:$E$1548,2,0)</f>
        <v>417</v>
      </c>
      <c r="J89" s="18">
        <f>+VLOOKUP(J$7-1+$C89,daily!$D$3:$E$1548,2,0)</f>
        <v>126</v>
      </c>
      <c r="K89" s="18">
        <f>+VLOOKUP(K$7-1+$C89,daily!$D$3:$E$1548,2,0)</f>
        <v>236</v>
      </c>
      <c r="L89" s="18">
        <f>+VLOOKUP(L$7-1+$C89,daily!$D$3:$E$1548,2,0)</f>
        <v>0</v>
      </c>
    </row>
    <row r="90" spans="2:12" ht="18.75" customHeight="1" x14ac:dyDescent="0.25">
      <c r="B90" s="19">
        <f t="shared" si="28"/>
        <v>12</v>
      </c>
      <c r="C90" s="17">
        <f t="shared" si="27"/>
        <v>80</v>
      </c>
      <c r="D90" s="18">
        <f>+VLOOKUP(D$7-1+$C90,daily!$D$3:$E$1548,2,0)</f>
        <v>250</v>
      </c>
      <c r="E90" s="18">
        <f>+VLOOKUP(E$7-1+$C90,daily!$D$3:$E$1548,2,0)</f>
        <v>473</v>
      </c>
      <c r="F90" s="18">
        <f>+VLOOKUP(F$7-1+$C90,daily!$D$3:$E$1548,2,0)</f>
        <v>358</v>
      </c>
      <c r="G90" s="18">
        <f>+VLOOKUP(G$7-1+$C90,daily!$D$3:$E$1548,2,0)</f>
        <v>123</v>
      </c>
      <c r="H90" s="18">
        <f>+VLOOKUP(H$7-1+$C90,daily!$D$3:$E$1548,2,0)</f>
        <v>445</v>
      </c>
      <c r="I90" s="18">
        <f>+VLOOKUP(I$7-1+$C90,daily!$D$3:$E$1548,2,0)</f>
        <v>164</v>
      </c>
      <c r="J90" s="18">
        <f>+VLOOKUP(J$7-1+$C90,daily!$D$3:$E$1548,2,0)</f>
        <v>194</v>
      </c>
      <c r="K90" s="18">
        <f>+VLOOKUP(K$7-1+$C90,daily!$D$3:$E$1548,2,0)</f>
        <v>154</v>
      </c>
      <c r="L90" s="18">
        <f>+VLOOKUP(L$7-1+$C90,daily!$D$3:$E$1548,2,0)</f>
        <v>0</v>
      </c>
    </row>
    <row r="91" spans="2:12" ht="18.75" customHeight="1" x14ac:dyDescent="0.25">
      <c r="B91" s="19">
        <f t="shared" si="28"/>
        <v>12</v>
      </c>
      <c r="C91" s="17">
        <f t="shared" si="27"/>
        <v>81</v>
      </c>
      <c r="D91" s="18">
        <f>+VLOOKUP(D$7-1+$C91,daily!$D$3:$E$1548,2,0)</f>
        <v>263</v>
      </c>
      <c r="E91" s="18">
        <f>+VLOOKUP(E$7-1+$C91,daily!$D$3:$E$1548,2,0)</f>
        <v>220</v>
      </c>
      <c r="F91" s="18">
        <f>+VLOOKUP(F$7-1+$C91,daily!$D$3:$E$1548,2,0)</f>
        <v>376</v>
      </c>
      <c r="G91" s="18">
        <f>+VLOOKUP(G$7-1+$C91,daily!$D$3:$E$1548,2,0)</f>
        <v>128</v>
      </c>
      <c r="H91" s="18">
        <f>+VLOOKUP(H$7-1+$C91,daily!$D$3:$E$1548,2,0)</f>
        <v>0</v>
      </c>
      <c r="I91" s="18">
        <f>+VLOOKUP(I$7-1+$C91,daily!$D$3:$E$1548,2,0)</f>
        <v>197</v>
      </c>
      <c r="J91" s="18">
        <f>+VLOOKUP(J$7-1+$C91,daily!$D$3:$E$1548,2,0)</f>
        <v>497</v>
      </c>
      <c r="K91" s="18">
        <f>+VLOOKUP(K$7-1+$C91,daily!$D$3:$E$1548,2,0)</f>
        <v>451</v>
      </c>
      <c r="L91" s="18">
        <f>+VLOOKUP(L$7-1+$C91,daily!$D$3:$E$1548,2,0)</f>
        <v>0</v>
      </c>
    </row>
    <row r="92" spans="2:12" ht="18.75" customHeight="1" x14ac:dyDescent="0.25">
      <c r="B92" s="19">
        <f t="shared" si="28"/>
        <v>12</v>
      </c>
      <c r="C92" s="17">
        <f t="shared" si="27"/>
        <v>82</v>
      </c>
      <c r="D92" s="18">
        <f>+VLOOKUP(D$7-1+$C92,daily!$D$3:$E$1548,2,0)</f>
        <v>219</v>
      </c>
      <c r="E92" s="18">
        <f>+VLOOKUP(E$7-1+$C92,daily!$D$3:$E$1548,2,0)</f>
        <v>256</v>
      </c>
      <c r="F92" s="18">
        <f>+VLOOKUP(F$7-1+$C92,daily!$D$3:$E$1548,2,0)</f>
        <v>130</v>
      </c>
      <c r="G92" s="18">
        <f>+VLOOKUP(G$7-1+$C92,daily!$D$3:$E$1548,2,0)</f>
        <v>219</v>
      </c>
      <c r="H92" s="18">
        <f>+VLOOKUP(H$7-1+$C92,daily!$D$3:$E$1548,2,0)</f>
        <v>194</v>
      </c>
      <c r="I92" s="18">
        <f>+VLOOKUP(I$7-1+$C92,daily!$D$3:$E$1548,2,0)</f>
        <v>168</v>
      </c>
      <c r="J92" s="18">
        <f>+VLOOKUP(J$7-1+$C92,daily!$D$3:$E$1548,2,0)</f>
        <v>437</v>
      </c>
      <c r="K92" s="18">
        <f>+VLOOKUP(K$7-1+$C92,daily!$D$3:$E$1548,2,0)</f>
        <v>619</v>
      </c>
      <c r="L92" s="18">
        <f>+VLOOKUP(L$7-1+$C92,daily!$D$3:$E$1548,2,0)</f>
        <v>0</v>
      </c>
    </row>
    <row r="93" spans="2:12" ht="18.75" customHeight="1" x14ac:dyDescent="0.25">
      <c r="B93" s="19">
        <f t="shared" si="28"/>
        <v>12</v>
      </c>
      <c r="C93" s="17">
        <f t="shared" si="27"/>
        <v>83</v>
      </c>
      <c r="D93" s="18">
        <f>+VLOOKUP(D$7-1+$C93,daily!$D$3:$E$1548,2,0)</f>
        <v>252</v>
      </c>
      <c r="E93" s="18">
        <f>+VLOOKUP(E$7-1+$C93,daily!$D$3:$E$1548,2,0)</f>
        <v>216</v>
      </c>
      <c r="F93" s="18">
        <f>+VLOOKUP(F$7-1+$C93,daily!$D$3:$E$1548,2,0)</f>
        <v>166</v>
      </c>
      <c r="G93" s="18">
        <f>+VLOOKUP(G$7-1+$C93,daily!$D$3:$E$1548,2,0)</f>
        <v>665</v>
      </c>
      <c r="H93" s="18">
        <f>+VLOOKUP(H$7-1+$C93,daily!$D$3:$E$1548,2,0)</f>
        <v>91</v>
      </c>
      <c r="I93" s="18">
        <f>+VLOOKUP(I$7-1+$C93,daily!$D$3:$E$1548,2,0)</f>
        <v>185</v>
      </c>
      <c r="J93" s="18">
        <f>+VLOOKUP(J$7-1+$C93,daily!$D$3:$E$1548,2,0)</f>
        <v>197</v>
      </c>
      <c r="K93" s="18">
        <f>+VLOOKUP(K$7-1+$C93,daily!$D$3:$E$1548,2,0)</f>
        <v>542</v>
      </c>
      <c r="L93" s="18">
        <f>+VLOOKUP(L$7-1+$C93,daily!$D$3:$E$1548,2,0)</f>
        <v>0</v>
      </c>
    </row>
    <row r="94" spans="2:12" ht="18.75" customHeight="1" x14ac:dyDescent="0.25">
      <c r="B94" s="19">
        <f t="shared" si="28"/>
        <v>12</v>
      </c>
      <c r="C94" s="17">
        <f t="shared" si="27"/>
        <v>84</v>
      </c>
      <c r="D94" s="18">
        <f>+VLOOKUP(D$7-1+$C94,daily!$D$3:$E$1548,2,0)</f>
        <v>278</v>
      </c>
      <c r="E94" s="18">
        <f>+VLOOKUP(E$7-1+$C94,daily!$D$3:$E$1548,2,0)</f>
        <v>338</v>
      </c>
      <c r="F94" s="18">
        <f>+VLOOKUP(F$7-1+$C94,daily!$D$3:$E$1548,2,0)</f>
        <v>201</v>
      </c>
      <c r="G94" s="18">
        <f>+VLOOKUP(G$7-1+$C94,daily!$D$3:$E$1548,2,0)</f>
        <v>528</v>
      </c>
      <c r="H94" s="18">
        <f>+VLOOKUP(H$7-1+$C94,daily!$D$3:$E$1548,2,0)</f>
        <v>110</v>
      </c>
      <c r="I94" s="18">
        <f>+VLOOKUP(I$7-1+$C94,daily!$D$3:$E$1548,2,0)</f>
        <v>232</v>
      </c>
      <c r="J94" s="18">
        <f>+VLOOKUP(J$7-1+$C94,daily!$D$3:$E$1548,2,0)</f>
        <v>175</v>
      </c>
      <c r="K94" s="18">
        <f>+VLOOKUP(K$7-1+$C94,daily!$D$3:$E$1548,2,0)</f>
        <v>263</v>
      </c>
      <c r="L94" s="18">
        <f>+VLOOKUP(L$7-1+$C94,daily!$D$3:$E$1548,2,0)</f>
        <v>0</v>
      </c>
    </row>
    <row r="95" spans="2:12" ht="18.75" customHeight="1" x14ac:dyDescent="0.25">
      <c r="B95" s="19">
        <f t="shared" si="28"/>
        <v>13</v>
      </c>
      <c r="C95" s="17">
        <f t="shared" si="27"/>
        <v>85</v>
      </c>
      <c r="D95" s="18">
        <f>+VLOOKUP(D$7-1+$C95,daily!$D$3:$E$1548,2,0)</f>
        <v>293</v>
      </c>
      <c r="E95" s="18">
        <f>+VLOOKUP(E$7-1+$C95,daily!$D$3:$E$1548,2,0)</f>
        <v>354</v>
      </c>
      <c r="F95" s="18">
        <f>+VLOOKUP(F$7-1+$C95,daily!$D$3:$E$1548,2,0)</f>
        <v>185</v>
      </c>
      <c r="G95" s="18">
        <f>+VLOOKUP(G$7-1+$C95,daily!$D$3:$E$1548,2,0)</f>
        <v>0</v>
      </c>
      <c r="H95" s="18">
        <f>+VLOOKUP(H$7-1+$C95,daily!$D$3:$E$1548,2,0)</f>
        <v>124</v>
      </c>
      <c r="I95" s="18">
        <f>+VLOOKUP(I$7-1+$C95,daily!$D$3:$E$1548,2,0)</f>
        <v>739</v>
      </c>
      <c r="J95" s="18">
        <f>+VLOOKUP(J$7-1+$C95,daily!$D$3:$E$1548,2,0)</f>
        <v>288</v>
      </c>
      <c r="K95" s="18">
        <f>+VLOOKUP(K$7-1+$C95,daily!$D$3:$E$1548,2,0)</f>
        <v>234</v>
      </c>
      <c r="L95" s="18">
        <f>+VLOOKUP(L$7-1+$C95,daily!$D$3:$E$1548,2,0)</f>
        <v>0</v>
      </c>
    </row>
    <row r="96" spans="2:12" ht="18.75" customHeight="1" x14ac:dyDescent="0.25">
      <c r="B96" s="19">
        <f t="shared" si="28"/>
        <v>13</v>
      </c>
      <c r="C96" s="17">
        <f t="shared" si="27"/>
        <v>86</v>
      </c>
      <c r="D96" s="18">
        <f>+VLOOKUP(D$7-1+$C96,daily!$D$3:$E$1548,2,0)</f>
        <v>0</v>
      </c>
      <c r="E96" s="18">
        <f>+VLOOKUP(E$7-1+$C96,daily!$D$3:$E$1548,2,0)</f>
        <v>760</v>
      </c>
      <c r="F96" s="18">
        <f>+VLOOKUP(F$7-1+$C96,daily!$D$3:$E$1548,2,0)</f>
        <v>257</v>
      </c>
      <c r="G96" s="18">
        <f>+VLOOKUP(G$7-1+$C96,daily!$D$3:$E$1548,2,0)</f>
        <v>114</v>
      </c>
      <c r="H96" s="18">
        <f>+VLOOKUP(H$7-1+$C96,daily!$D$3:$E$1548,2,0)</f>
        <v>394</v>
      </c>
      <c r="I96" s="18">
        <f>+VLOOKUP(I$7-1+$C96,daily!$D$3:$E$1548,2,0)</f>
        <v>587</v>
      </c>
      <c r="J96" s="18">
        <f>+VLOOKUP(J$7-1+$C96,daily!$D$3:$E$1548,2,0)</f>
        <v>211</v>
      </c>
      <c r="K96" s="18">
        <f>+VLOOKUP(K$7-1+$C96,daily!$D$3:$E$1548,2,0)</f>
        <v>332</v>
      </c>
      <c r="L96" s="18">
        <f>+VLOOKUP(L$7-1+$C96,daily!$D$3:$E$1548,2,0)</f>
        <v>0</v>
      </c>
    </row>
    <row r="97" spans="2:12" ht="18.75" customHeight="1" x14ac:dyDescent="0.25">
      <c r="B97" s="19">
        <f t="shared" si="28"/>
        <v>13</v>
      </c>
      <c r="C97" s="17">
        <f t="shared" si="27"/>
        <v>87</v>
      </c>
      <c r="D97" s="18">
        <f>+VLOOKUP(D$7-1+$C97,daily!$D$3:$E$1548,2,0)</f>
        <v>563</v>
      </c>
      <c r="E97" s="18">
        <f>+VLOOKUP(E$7-1+$C97,daily!$D$3:$E$1548,2,0)</f>
        <v>639</v>
      </c>
      <c r="F97" s="18">
        <f>+VLOOKUP(F$7-1+$C97,daily!$D$3:$E$1548,2,0)</f>
        <v>578</v>
      </c>
      <c r="G97" s="18">
        <f>+VLOOKUP(G$7-1+$C97,daily!$D$3:$E$1548,2,0)</f>
        <v>275</v>
      </c>
      <c r="H97" s="18">
        <f>+VLOOKUP(H$7-1+$C97,daily!$D$3:$E$1548,2,0)</f>
        <v>469</v>
      </c>
      <c r="I97" s="18">
        <f>+VLOOKUP(I$7-1+$C97,daily!$D$3:$E$1548,2,0)</f>
        <v>293</v>
      </c>
      <c r="J97" s="18">
        <f>+VLOOKUP(J$7-1+$C97,daily!$D$3:$E$1548,2,0)</f>
        <v>264</v>
      </c>
      <c r="K97" s="18">
        <f>+VLOOKUP(K$7-1+$C97,daily!$D$3:$E$1548,2,0)</f>
        <v>265</v>
      </c>
      <c r="L97" s="18">
        <f>+VLOOKUP(L$7-1+$C97,daily!$D$3:$E$1548,2,0)</f>
        <v>0</v>
      </c>
    </row>
    <row r="98" spans="2:12" ht="18.75" customHeight="1" x14ac:dyDescent="0.25">
      <c r="B98" s="19">
        <f t="shared" si="28"/>
        <v>13</v>
      </c>
      <c r="C98" s="17">
        <f t="shared" si="27"/>
        <v>88</v>
      </c>
      <c r="D98" s="18">
        <f>+VLOOKUP(D$7-1+$C98,daily!$D$3:$E$1548,2,0)</f>
        <v>427</v>
      </c>
      <c r="E98" s="18">
        <f>+VLOOKUP(E$7-1+$C98,daily!$D$3:$E$1548,2,0)</f>
        <v>0</v>
      </c>
      <c r="F98" s="18">
        <f>+VLOOKUP(F$7-1+$C98,daily!$D$3:$E$1548,2,0)</f>
        <v>432</v>
      </c>
      <c r="G98" s="18">
        <f>+VLOOKUP(G$7-1+$C98,daily!$D$3:$E$1548,2,0)</f>
        <v>181</v>
      </c>
      <c r="H98" s="18">
        <f>+VLOOKUP(H$7-1+$C98,daily!$D$3:$E$1548,2,0)</f>
        <v>110</v>
      </c>
      <c r="I98" s="18">
        <f>+VLOOKUP(I$7-1+$C98,daily!$D$3:$E$1548,2,0)</f>
        <v>271</v>
      </c>
      <c r="J98" s="18">
        <f>+VLOOKUP(J$7-1+$C98,daily!$D$3:$E$1548,2,0)</f>
        <v>695</v>
      </c>
      <c r="K98" s="18">
        <f>+VLOOKUP(K$7-1+$C98,daily!$D$3:$E$1548,2,0)</f>
        <v>370</v>
      </c>
      <c r="L98" s="18">
        <f>+VLOOKUP(L$7-1+$C98,daily!$D$3:$E$1548,2,0)</f>
        <v>0</v>
      </c>
    </row>
    <row r="99" spans="2:12" ht="18.75" customHeight="1" x14ac:dyDescent="0.25">
      <c r="B99" s="19">
        <f t="shared" si="28"/>
        <v>13</v>
      </c>
      <c r="C99" s="17">
        <f t="shared" si="27"/>
        <v>89</v>
      </c>
      <c r="D99" s="18">
        <f>+VLOOKUP(D$7-1+$C99,daily!$D$3:$E$1548,2,0)</f>
        <v>158</v>
      </c>
      <c r="E99" s="18">
        <f>+VLOOKUP(E$7-1+$C99,daily!$D$3:$E$1548,2,0)</f>
        <v>0</v>
      </c>
      <c r="F99" s="18">
        <f>+VLOOKUP(F$7-1+$C99,daily!$D$3:$E$1548,2,0)</f>
        <v>305</v>
      </c>
      <c r="G99" s="18">
        <f>+VLOOKUP(G$7-1+$C99,daily!$D$3:$E$1548,2,0)</f>
        <v>298</v>
      </c>
      <c r="H99" s="18">
        <f>+VLOOKUP(H$7-1+$C99,daily!$D$3:$E$1548,2,0)</f>
        <v>112</v>
      </c>
      <c r="I99" s="18">
        <f>+VLOOKUP(I$7-1+$C99,daily!$D$3:$E$1548,2,0)</f>
        <v>280</v>
      </c>
      <c r="J99" s="18">
        <f>+VLOOKUP(J$7-1+$C99,daily!$D$3:$E$1548,2,0)</f>
        <v>649</v>
      </c>
      <c r="K99" s="18">
        <f>+VLOOKUP(K$7-1+$C99,daily!$D$3:$E$1548,2,0)</f>
        <v>690</v>
      </c>
      <c r="L99" s="18">
        <f>+VLOOKUP(L$7-1+$C99,daily!$D$3:$E$1548,2,0)</f>
        <v>0</v>
      </c>
    </row>
    <row r="100" spans="2:12" ht="18.75" customHeight="1" x14ac:dyDescent="0.25">
      <c r="B100" s="19">
        <f t="shared" si="28"/>
        <v>13</v>
      </c>
      <c r="C100" s="17">
        <f t="shared" si="27"/>
        <v>90</v>
      </c>
      <c r="D100" s="18">
        <f>+VLOOKUP(D$7-1+$C100,daily!$D$3:$E$1548,2,0)</f>
        <v>176</v>
      </c>
      <c r="E100" s="18">
        <f>+VLOOKUP(E$7-1+$C100,daily!$D$3:$E$1548,2,0)</f>
        <v>0</v>
      </c>
      <c r="F100" s="18">
        <f>+VLOOKUP(F$7-1+$C100,daily!$D$3:$E$1548,2,0)</f>
        <v>332</v>
      </c>
      <c r="G100" s="18">
        <f>+VLOOKUP(G$7-1+$C100,daily!$D$3:$E$1548,2,0)</f>
        <v>690</v>
      </c>
      <c r="H100" s="18">
        <f>+VLOOKUP(H$7-1+$C100,daily!$D$3:$E$1548,2,0)</f>
        <v>192</v>
      </c>
      <c r="I100" s="18">
        <f>+VLOOKUP(I$7-1+$C100,daily!$D$3:$E$1548,2,0)</f>
        <v>382</v>
      </c>
      <c r="J100" s="18">
        <f>+VLOOKUP(J$7-1+$C100,daily!$D$3:$E$1548,2,0)</f>
        <v>314</v>
      </c>
      <c r="K100" s="18">
        <f>+VLOOKUP(K$7-1+$C100,daily!$D$3:$E$1548,2,0)</f>
        <v>713</v>
      </c>
      <c r="L100" s="18">
        <f>+VLOOKUP(L$7-1+$C100,daily!$D$3:$E$1548,2,0)</f>
        <v>0</v>
      </c>
    </row>
    <row r="101" spans="2:12" ht="18.75" customHeight="1" x14ac:dyDescent="0.25">
      <c r="B101" s="19">
        <f t="shared" si="28"/>
        <v>13</v>
      </c>
      <c r="C101" s="17">
        <f t="shared" si="27"/>
        <v>91</v>
      </c>
      <c r="D101" s="18">
        <f>+VLOOKUP(D$7-1+$C101,daily!$D$3:$E$1548,2,0)</f>
        <v>178</v>
      </c>
      <c r="E101" s="18">
        <f>+VLOOKUP(E$7-1+$C101,daily!$D$3:$E$1548,2,0)</f>
        <v>0</v>
      </c>
      <c r="F101" s="18">
        <f>+VLOOKUP(F$7-1+$C101,daily!$D$3:$E$1548,2,0)</f>
        <v>633</v>
      </c>
      <c r="G101" s="18">
        <f>+VLOOKUP(G$7-1+$C101,daily!$D$3:$E$1548,2,0)</f>
        <v>660</v>
      </c>
      <c r="H101" s="18">
        <f>+VLOOKUP(H$7-1+$C101,daily!$D$3:$E$1548,2,0)</f>
        <v>134</v>
      </c>
      <c r="I101" s="18">
        <f>+VLOOKUP(I$7-1+$C101,daily!$D$3:$E$1548,2,0)</f>
        <v>586</v>
      </c>
      <c r="J101" s="18">
        <f>+VLOOKUP(J$7-1+$C101,daily!$D$3:$E$1548,2,0)</f>
        <v>248</v>
      </c>
      <c r="K101" s="18">
        <f>+VLOOKUP(K$7-1+$C101,daily!$D$3:$E$1548,2,0)</f>
        <v>799</v>
      </c>
      <c r="L101" s="18">
        <f>+VLOOKUP(L$7-1+$C101,daily!$D$3:$E$1548,2,0)</f>
        <v>0</v>
      </c>
    </row>
    <row r="102" spans="2:12" ht="18.75" customHeight="1" x14ac:dyDescent="0.25">
      <c r="B102" s="19">
        <f t="shared" si="28"/>
        <v>14</v>
      </c>
      <c r="C102" s="17">
        <f t="shared" si="27"/>
        <v>92</v>
      </c>
      <c r="D102" s="18">
        <f>+VLOOKUP(D$7-1+$C102,daily!$D$3:$E$1548,2,0)</f>
        <v>169</v>
      </c>
      <c r="E102" s="18">
        <f>+VLOOKUP(E$7-1+$C102,daily!$D$3:$E$1548,2,0)</f>
        <v>0</v>
      </c>
      <c r="F102" s="18">
        <f>+VLOOKUP(F$7-1+$C102,daily!$D$3:$E$1548,2,0)</f>
        <v>503</v>
      </c>
      <c r="G102" s="18">
        <f>+VLOOKUP(G$7-1+$C102,daily!$D$3:$E$1548,2,0)</f>
        <v>242</v>
      </c>
      <c r="H102" s="18">
        <f>+VLOOKUP(H$7-1+$C102,daily!$D$3:$E$1548,2,0)</f>
        <v>277</v>
      </c>
      <c r="I102" s="18">
        <f>+VLOOKUP(I$7-1+$C102,daily!$D$3:$E$1548,2,0)</f>
        <v>1007</v>
      </c>
      <c r="J102" s="18">
        <f>+VLOOKUP(J$7-1+$C102,daily!$D$3:$E$1548,2,0)</f>
        <v>262</v>
      </c>
      <c r="K102" s="18">
        <f>+VLOOKUP(K$7-1+$C102,daily!$D$3:$E$1548,2,0)</f>
        <v>399</v>
      </c>
      <c r="L102" s="18">
        <f>+VLOOKUP(L$7-1+$C102,daily!$D$3:$E$1548,2,0)</f>
        <v>0</v>
      </c>
    </row>
    <row r="103" spans="2:12" ht="18.75" customHeight="1" x14ac:dyDescent="0.25">
      <c r="B103" s="19">
        <f t="shared" si="28"/>
        <v>14</v>
      </c>
      <c r="C103" s="17">
        <f t="shared" si="27"/>
        <v>93</v>
      </c>
      <c r="D103" s="18">
        <f>+VLOOKUP(D$7-1+$C103,daily!$D$3:$E$1548,2,0)</f>
        <v>220</v>
      </c>
      <c r="E103" s="18">
        <f>+VLOOKUP(E$7-1+$C103,daily!$D$3:$E$1548,2,0)</f>
        <v>0</v>
      </c>
      <c r="F103" s="18">
        <f>+VLOOKUP(F$7-1+$C103,daily!$D$3:$E$1548,2,0)</f>
        <v>539</v>
      </c>
      <c r="G103" s="18">
        <f>+VLOOKUP(G$7-1+$C103,daily!$D$3:$E$1548,2,0)</f>
        <v>285</v>
      </c>
      <c r="H103" s="18">
        <f>+VLOOKUP(H$7-1+$C103,daily!$D$3:$E$1548,2,0)</f>
        <v>457</v>
      </c>
      <c r="I103" s="18">
        <f>+VLOOKUP(I$7-1+$C103,daily!$D$3:$E$1548,2,0)</f>
        <v>929</v>
      </c>
      <c r="J103" s="18">
        <f>+VLOOKUP(J$7-1+$C103,daily!$D$3:$E$1548,2,0)</f>
        <v>364</v>
      </c>
      <c r="K103" s="18">
        <f>+VLOOKUP(K$7-1+$C103,daily!$D$3:$E$1548,2,0)</f>
        <v>421</v>
      </c>
      <c r="L103" s="18">
        <f>+VLOOKUP(L$7-1+$C103,daily!$D$3:$E$1548,2,0)</f>
        <v>0</v>
      </c>
    </row>
    <row r="104" spans="2:12" ht="18.75" customHeight="1" x14ac:dyDescent="0.25">
      <c r="B104" s="19">
        <f t="shared" si="28"/>
        <v>14</v>
      </c>
      <c r="C104" s="17">
        <f t="shared" si="27"/>
        <v>94</v>
      </c>
      <c r="D104" s="18">
        <f>+VLOOKUP(D$7-1+$C104,daily!$D$3:$E$1548,2,0)</f>
        <v>676</v>
      </c>
      <c r="E104" s="18">
        <f>+VLOOKUP(E$7-1+$C104,daily!$D$3:$E$1548,2,0)</f>
        <v>0</v>
      </c>
      <c r="F104" s="18">
        <f>+VLOOKUP(F$7-1+$C104,daily!$D$3:$E$1548,2,0)</f>
        <v>0</v>
      </c>
      <c r="G104" s="18">
        <f>+VLOOKUP(G$7-1+$C104,daily!$D$3:$E$1548,2,0)</f>
        <v>718</v>
      </c>
      <c r="H104" s="18">
        <f>+VLOOKUP(H$7-1+$C104,daily!$D$3:$E$1548,2,0)</f>
        <v>402</v>
      </c>
      <c r="I104" s="18">
        <f>+VLOOKUP(I$7-1+$C104,daily!$D$3:$E$1548,2,0)</f>
        <v>0</v>
      </c>
      <c r="J104" s="18">
        <f>+VLOOKUP(J$7-1+$C104,daily!$D$3:$E$1548,2,0)</f>
        <v>361</v>
      </c>
      <c r="K104" s="18">
        <f>+VLOOKUP(K$7-1+$C104,daily!$D$3:$E$1548,2,0)</f>
        <v>564</v>
      </c>
      <c r="L104" s="18">
        <f>+VLOOKUP(L$7-1+$C104,daily!$D$3:$E$1548,2,0)</f>
        <v>0</v>
      </c>
    </row>
    <row r="105" spans="2:12" ht="18.75" customHeight="1" x14ac:dyDescent="0.25">
      <c r="B105" s="19">
        <f t="shared" si="28"/>
        <v>14</v>
      </c>
      <c r="C105" s="17">
        <f t="shared" si="27"/>
        <v>95</v>
      </c>
      <c r="D105" s="18">
        <f>+VLOOKUP(D$7-1+$C105,daily!$D$3:$E$1548,2,0)</f>
        <v>588</v>
      </c>
      <c r="E105" s="18">
        <f>+VLOOKUP(E$7-1+$C105,daily!$D$3:$E$1548,2,0)</f>
        <v>0</v>
      </c>
      <c r="F105" s="18">
        <f>+VLOOKUP(F$7-1+$C105,daily!$D$3:$E$1548,2,0)</f>
        <v>1215</v>
      </c>
      <c r="G105" s="18">
        <f>+VLOOKUP(G$7-1+$C105,daily!$D$3:$E$1548,2,0)</f>
        <v>240</v>
      </c>
      <c r="H105" s="18">
        <f>+VLOOKUP(H$7-1+$C105,daily!$D$3:$E$1548,2,0)</f>
        <v>168</v>
      </c>
      <c r="I105" s="18">
        <f>+VLOOKUP(I$7-1+$C105,daily!$D$3:$E$1548,2,0)</f>
        <v>0</v>
      </c>
      <c r="J105" s="18">
        <f>+VLOOKUP(J$7-1+$C105,daily!$D$3:$E$1548,2,0)</f>
        <v>701</v>
      </c>
      <c r="K105" s="18">
        <f>+VLOOKUP(K$7-1+$C105,daily!$D$3:$E$1548,2,0)</f>
        <v>689</v>
      </c>
      <c r="L105" s="18">
        <f>+VLOOKUP(L$7-1+$C105,daily!$D$3:$E$1548,2,0)</f>
        <v>0</v>
      </c>
    </row>
    <row r="106" spans="2:12" ht="18.75" customHeight="1" x14ac:dyDescent="0.25">
      <c r="B106" s="19">
        <f t="shared" si="28"/>
        <v>14</v>
      </c>
      <c r="C106" s="17">
        <f t="shared" si="27"/>
        <v>96</v>
      </c>
      <c r="D106" s="18">
        <f>+VLOOKUP(D$7-1+$C106,daily!$D$3:$E$1548,2,0)</f>
        <v>268</v>
      </c>
      <c r="E106" s="18">
        <f>+VLOOKUP(E$7-1+$C106,daily!$D$3:$E$1548,2,0)</f>
        <v>0</v>
      </c>
      <c r="F106" s="18">
        <f>+VLOOKUP(F$7-1+$C106,daily!$D$3:$E$1548,2,0)</f>
        <v>121</v>
      </c>
      <c r="G106" s="18">
        <f>+VLOOKUP(G$7-1+$C106,daily!$D$3:$E$1548,2,0)</f>
        <v>403</v>
      </c>
      <c r="H106" s="18">
        <f>+VLOOKUP(H$7-1+$C106,daily!$D$3:$E$1548,2,0)</f>
        <v>164</v>
      </c>
      <c r="I106" s="18">
        <f>+VLOOKUP(I$7-1+$C106,daily!$D$3:$E$1548,2,0)</f>
        <v>0</v>
      </c>
      <c r="J106" s="18">
        <f>+VLOOKUP(J$7-1+$C106,daily!$D$3:$E$1548,2,0)</f>
        <v>786</v>
      </c>
      <c r="K106" s="18">
        <f>+VLOOKUP(K$7-1+$C106,daily!$D$3:$E$1548,2,0)</f>
        <v>772</v>
      </c>
      <c r="L106" s="18">
        <f>+VLOOKUP(L$7-1+$C106,daily!$D$3:$E$1548,2,0)</f>
        <v>0</v>
      </c>
    </row>
    <row r="107" spans="2:12" ht="18.75" customHeight="1" x14ac:dyDescent="0.25">
      <c r="B107" s="19">
        <f t="shared" si="28"/>
        <v>14</v>
      </c>
      <c r="C107" s="17">
        <f t="shared" si="27"/>
        <v>97</v>
      </c>
      <c r="D107" s="18">
        <f>+VLOOKUP(D$7-1+$C107,daily!$D$3:$E$1548,2,0)</f>
        <v>300</v>
      </c>
      <c r="E107" s="18">
        <f>+VLOOKUP(E$7-1+$C107,daily!$D$3:$E$1548,2,0)</f>
        <v>0</v>
      </c>
      <c r="F107" s="18">
        <f>+VLOOKUP(F$7-1+$C107,daily!$D$3:$E$1548,2,0)</f>
        <v>239</v>
      </c>
      <c r="G107" s="18">
        <f>+VLOOKUP(G$7-1+$C107,daily!$D$3:$E$1548,2,0)</f>
        <v>858</v>
      </c>
      <c r="H107" s="18">
        <f>+VLOOKUP(H$7-1+$C107,daily!$D$3:$E$1548,2,0)</f>
        <v>241</v>
      </c>
      <c r="I107" s="18">
        <f>+VLOOKUP(I$7-1+$C107,daily!$D$3:$E$1548,2,0)</f>
        <v>0</v>
      </c>
      <c r="J107" s="18">
        <f>+VLOOKUP(J$7-1+$C107,daily!$D$3:$E$1548,2,0)</f>
        <v>0</v>
      </c>
      <c r="K107" s="18">
        <f>+VLOOKUP(K$7-1+$C107,daily!$D$3:$E$1548,2,0)</f>
        <v>1190</v>
      </c>
      <c r="L107" s="18">
        <f>+VLOOKUP(L$7-1+$C107,daily!$D$3:$E$1548,2,0)</f>
        <v>0</v>
      </c>
    </row>
    <row r="108" spans="2:12" ht="18.75" customHeight="1" x14ac:dyDescent="0.25">
      <c r="B108" s="19">
        <f t="shared" si="28"/>
        <v>14</v>
      </c>
      <c r="C108" s="17">
        <f t="shared" si="27"/>
        <v>98</v>
      </c>
      <c r="D108" s="18">
        <f>+VLOOKUP(D$7-1+$C108,daily!$D$3:$E$1548,2,0)</f>
        <v>289</v>
      </c>
      <c r="E108" s="18">
        <f>+VLOOKUP(E$7-1+$C108,daily!$D$3:$E$1548,2,0)</f>
        <v>0</v>
      </c>
      <c r="F108" s="18">
        <f>+VLOOKUP(F$7-1+$C108,daily!$D$3:$E$1548,2,0)</f>
        <v>390</v>
      </c>
      <c r="G108" s="18">
        <f>+VLOOKUP(G$7-1+$C108,daily!$D$3:$E$1548,2,0)</f>
        <v>784</v>
      </c>
      <c r="H108" s="18">
        <f>+VLOOKUP(H$7-1+$C108,daily!$D$3:$E$1548,2,0)</f>
        <v>212</v>
      </c>
      <c r="I108" s="18">
        <f>+VLOOKUP(I$7-1+$C108,daily!$D$3:$E$1548,2,0)</f>
        <v>0</v>
      </c>
      <c r="J108" s="18">
        <f>+VLOOKUP(J$7-1+$C108,daily!$D$3:$E$1548,2,0)</f>
        <v>0</v>
      </c>
      <c r="K108" s="18">
        <f>+VLOOKUP(K$7-1+$C108,daily!$D$3:$E$1548,2,0)</f>
        <v>0</v>
      </c>
      <c r="L108" s="18">
        <f>+VLOOKUP(L$7-1+$C108,daily!$D$3:$E$1548,2,0)</f>
        <v>0</v>
      </c>
    </row>
    <row r="109" spans="2:12" ht="18.75" customHeight="1" x14ac:dyDescent="0.25">
      <c r="B109" s="19">
        <f t="shared" si="28"/>
        <v>15</v>
      </c>
      <c r="C109" s="17">
        <f t="shared" si="27"/>
        <v>99</v>
      </c>
      <c r="D109" s="18">
        <f>+VLOOKUP(D$7-1+$C109,daily!$D$3:$E$1548,2,0)</f>
        <v>409</v>
      </c>
      <c r="E109" s="18">
        <f>+VLOOKUP(E$7-1+$C109,daily!$D$3:$E$1548,2,0)</f>
        <v>0</v>
      </c>
      <c r="F109" s="18">
        <f>+VLOOKUP(F$7-1+$C109,daily!$D$3:$E$1548,2,0)</f>
        <v>400</v>
      </c>
      <c r="G109" s="18">
        <f>+VLOOKUP(G$7-1+$C109,daily!$D$3:$E$1548,2,0)</f>
        <v>1132</v>
      </c>
      <c r="H109" s="18">
        <f>+VLOOKUP(H$7-1+$C109,daily!$D$3:$E$1548,2,0)</f>
        <v>278</v>
      </c>
      <c r="I109" s="18">
        <f>+VLOOKUP(I$7-1+$C109,daily!$D$3:$E$1548,2,0)</f>
        <v>0</v>
      </c>
      <c r="J109" s="18">
        <f>+VLOOKUP(J$7-1+$C109,daily!$D$3:$E$1548,2,0)</f>
        <v>0</v>
      </c>
      <c r="K109" s="18">
        <f>+VLOOKUP(K$7-1+$C109,daily!$D$3:$E$1548,2,0)</f>
        <v>0</v>
      </c>
      <c r="L109" s="18">
        <f>+VLOOKUP(L$7-1+$C109,daily!$D$3:$E$1548,2,0)</f>
        <v>0</v>
      </c>
    </row>
    <row r="110" spans="2:12" ht="18.75" customHeight="1" x14ac:dyDescent="0.25">
      <c r="B110" s="40">
        <f t="shared" si="28"/>
        <v>15</v>
      </c>
      <c r="C110" s="41">
        <f t="shared" si="27"/>
        <v>100</v>
      </c>
      <c r="D110" s="42">
        <f>+VLOOKUP(D$7-1+$C110,daily!$D$3:$E$1548,2,0)</f>
        <v>399</v>
      </c>
      <c r="E110" s="42">
        <f>+VLOOKUP(E$7-1+$C110,daily!$D$3:$E$1548,2,0)</f>
        <v>0</v>
      </c>
      <c r="F110" s="42">
        <f>+VLOOKUP(F$7-1+$C110,daily!$D$3:$E$1548,2,0)</f>
        <v>493</v>
      </c>
      <c r="G110" s="42">
        <f>+VLOOKUP(G$7-1+$C110,daily!$D$3:$E$1548,2,0)</f>
        <v>0</v>
      </c>
      <c r="H110" s="42">
        <f>+VLOOKUP(H$7-1+$C110,daily!$D$3:$E$1548,2,0)</f>
        <v>799</v>
      </c>
      <c r="I110" s="42">
        <f>+VLOOKUP(I$7-1+$C110,daily!$D$3:$E$1548,2,0)</f>
        <v>0</v>
      </c>
      <c r="J110" s="42">
        <f>+VLOOKUP(J$7-1+$C110,daily!$D$3:$E$1548,2,0)</f>
        <v>0</v>
      </c>
      <c r="K110" s="42">
        <f>+VLOOKUP(K$7-1+$C110,daily!$D$3:$E$1548,2,0)</f>
        <v>0</v>
      </c>
      <c r="L110" s="42">
        <f>+VLOOKUP(L$7-1+$C110,daily!$D$3:$E$1548,2,0)</f>
        <v>0</v>
      </c>
    </row>
    <row r="111" spans="2:12" ht="18.75" customHeight="1" x14ac:dyDescent="0.25">
      <c r="B111" s="40">
        <f t="shared" si="28"/>
        <v>15</v>
      </c>
      <c r="C111" s="41">
        <f t="shared" si="27"/>
        <v>101</v>
      </c>
      <c r="D111" s="42">
        <f>+VLOOKUP(D$7-1+$C111,daily!$D$3:$E$1548,2,0)</f>
        <v>1151</v>
      </c>
      <c r="E111" s="42">
        <f>+VLOOKUP(E$7-1+$C111,daily!$D$3:$E$1548,2,0)</f>
        <v>0</v>
      </c>
      <c r="F111" s="42">
        <f>+VLOOKUP(F$7-1+$C111,daily!$D$3:$E$1548,2,0)</f>
        <v>1009</v>
      </c>
      <c r="G111" s="42">
        <f>+VLOOKUP(G$7-1+$C111,daily!$D$3:$E$1548,2,0)</f>
        <v>0</v>
      </c>
      <c r="H111" s="42">
        <f>+VLOOKUP(H$7-1+$C111,daily!$D$3:$E$1548,2,0)</f>
        <v>816</v>
      </c>
      <c r="I111" s="42">
        <f>+VLOOKUP(I$7-1+$C111,daily!$D$3:$E$1548,2,0)</f>
        <v>0</v>
      </c>
      <c r="J111" s="42">
        <f>+VLOOKUP(J$7-1+$C111,daily!$D$3:$E$1548,2,0)</f>
        <v>0</v>
      </c>
      <c r="K111" s="42">
        <f>+VLOOKUP(K$7-1+$C111,daily!$D$3:$E$1548,2,0)</f>
        <v>0</v>
      </c>
      <c r="L111" s="42">
        <f>+VLOOKUP(L$7-1+$C111,daily!$D$3:$E$1548,2,0)</f>
        <v>0</v>
      </c>
    </row>
    <row r="112" spans="2:12" ht="18.75" customHeight="1" x14ac:dyDescent="0.25">
      <c r="B112" s="40">
        <f t="shared" si="28"/>
        <v>15</v>
      </c>
      <c r="C112" s="41">
        <f t="shared" si="27"/>
        <v>102</v>
      </c>
      <c r="D112" s="42">
        <f>+VLOOKUP(D$7-1+$C112,daily!$D$3:$E$1548,2,0)</f>
        <v>834</v>
      </c>
      <c r="E112" s="42">
        <f>+VLOOKUP(E$7-1+$C112,daily!$D$3:$E$1548,2,0)</f>
        <v>0</v>
      </c>
      <c r="F112" s="42">
        <f>+VLOOKUP(F$7-1+$C112,daily!$D$3:$E$1548,2,0)</f>
        <v>1089</v>
      </c>
      <c r="G112" s="42">
        <f>+VLOOKUP(G$7-1+$C112,daily!$D$3:$E$1548,2,0)</f>
        <v>0</v>
      </c>
      <c r="H112" s="42">
        <f>+VLOOKUP(H$7-1+$C112,daily!$D$3:$E$1548,2,0)</f>
        <v>0</v>
      </c>
      <c r="I112" s="42">
        <f>+VLOOKUP(I$7-1+$C112,daily!$D$3:$E$1548,2,0)</f>
        <v>0</v>
      </c>
      <c r="J112" s="42">
        <f>+VLOOKUP(J$7-1+$C112,daily!$D$3:$E$1548,2,0)</f>
        <v>0</v>
      </c>
      <c r="K112" s="42">
        <f>+VLOOKUP(K$7-1+$C112,daily!$D$3:$E$1548,2,0)</f>
        <v>0</v>
      </c>
      <c r="L112" s="42">
        <f>+VLOOKUP(L$7-1+$C112,daily!$D$3:$E$1548,2,0)</f>
        <v>0</v>
      </c>
    </row>
    <row r="113" spans="2:12" ht="18.75" customHeight="1" x14ac:dyDescent="0.25">
      <c r="B113" s="40">
        <f t="shared" si="28"/>
        <v>15</v>
      </c>
      <c r="C113" s="41">
        <f t="shared" si="27"/>
        <v>103</v>
      </c>
      <c r="D113" s="42">
        <f>+VLOOKUP(D$7-1+$C113,daily!$D$3:$E$1548,2,0)</f>
        <v>293</v>
      </c>
      <c r="E113" s="42">
        <f>+VLOOKUP(E$7-1+$C113,daily!$D$3:$E$1548,2,0)</f>
        <v>0</v>
      </c>
      <c r="F113" s="42">
        <f>+VLOOKUP(F$7-1+$C113,daily!$D$3:$E$1548,2,0)</f>
        <v>0</v>
      </c>
      <c r="G113" s="42">
        <f>+VLOOKUP(G$7-1+$C113,daily!$D$3:$E$1548,2,0)</f>
        <v>0</v>
      </c>
      <c r="H113" s="42">
        <f>+VLOOKUP(H$7-1+$C113,daily!$D$3:$E$1548,2,0)</f>
        <v>0</v>
      </c>
      <c r="I113" s="42">
        <f>+VLOOKUP(I$7-1+$C113,daily!$D$3:$E$1548,2,0)</f>
        <v>0</v>
      </c>
      <c r="J113" s="42">
        <f>+VLOOKUP(J$7-1+$C113,daily!$D$3:$E$1548,2,0)</f>
        <v>0</v>
      </c>
      <c r="K113" s="42">
        <f>+VLOOKUP(K$7-1+$C113,daily!$D$3:$E$1548,2,0)</f>
        <v>0</v>
      </c>
      <c r="L113" s="42">
        <f>+VLOOKUP(L$7-1+$C113,daily!$D$3:$E$1548,2,0)</f>
        <v>0</v>
      </c>
    </row>
    <row r="114" spans="2:12" ht="18.75" customHeight="1" x14ac:dyDescent="0.25">
      <c r="B114" s="40">
        <f t="shared" si="28"/>
        <v>15</v>
      </c>
      <c r="C114" s="41">
        <f t="shared" si="27"/>
        <v>104</v>
      </c>
      <c r="D114" s="42">
        <f>+VLOOKUP(D$7-1+$C114,daily!$D$3:$E$1548,2,0)</f>
        <v>420</v>
      </c>
      <c r="E114" s="42">
        <f>+VLOOKUP(E$7-1+$C114,daily!$D$3:$E$1548,2,0)</f>
        <v>0</v>
      </c>
      <c r="F114" s="42">
        <f>+VLOOKUP(F$7-1+$C114,daily!$D$3:$E$1548,2,0)</f>
        <v>0</v>
      </c>
      <c r="G114" s="42">
        <f>+VLOOKUP(G$7-1+$C114,daily!$D$3:$E$1548,2,0)</f>
        <v>0</v>
      </c>
      <c r="H114" s="42">
        <f>+VLOOKUP(H$7-1+$C114,daily!$D$3:$E$1548,2,0)</f>
        <v>0</v>
      </c>
      <c r="I114" s="42">
        <f>+VLOOKUP(I$7-1+$C114,daily!$D$3:$E$1548,2,0)</f>
        <v>0</v>
      </c>
      <c r="J114" s="42">
        <f>+VLOOKUP(J$7-1+$C114,daily!$D$3:$E$1548,2,0)</f>
        <v>0</v>
      </c>
      <c r="K114" s="42">
        <f>+VLOOKUP(K$7-1+$C114,daily!$D$3:$E$1548,2,0)</f>
        <v>0</v>
      </c>
      <c r="L114" s="42">
        <f>+VLOOKUP(L$7-1+$C114,daily!$D$3:$E$1548,2,0)</f>
        <v>0</v>
      </c>
    </row>
    <row r="115" spans="2:12" ht="18.75" customHeight="1" x14ac:dyDescent="0.25">
      <c r="B115" s="40">
        <f t="shared" si="28"/>
        <v>15</v>
      </c>
      <c r="C115" s="41">
        <f t="shared" si="27"/>
        <v>105</v>
      </c>
      <c r="D115" s="42">
        <f>+VLOOKUP(D$7-1+$C115,daily!$D$3:$E$1548,2,0)</f>
        <v>527</v>
      </c>
      <c r="E115" s="42">
        <f>+VLOOKUP(E$7-1+$C115,daily!$D$3:$E$1548,2,0)</f>
        <v>0</v>
      </c>
      <c r="F115" s="42">
        <f>+VLOOKUP(F$7-1+$C115,daily!$D$3:$E$1548,2,0)</f>
        <v>0</v>
      </c>
      <c r="G115" s="42">
        <f>+VLOOKUP(G$7-1+$C115,daily!$D$3:$E$1548,2,0)</f>
        <v>0</v>
      </c>
      <c r="H115" s="42">
        <f>+VLOOKUP(H$7-1+$C115,daily!$D$3:$E$1548,2,0)</f>
        <v>0</v>
      </c>
      <c r="I115" s="42">
        <f>+VLOOKUP(I$7-1+$C115,daily!$D$3:$E$1548,2,0)</f>
        <v>0</v>
      </c>
      <c r="J115" s="42">
        <f>+VLOOKUP(J$7-1+$C115,daily!$D$3:$E$1548,2,0)</f>
        <v>0</v>
      </c>
      <c r="K115" s="42">
        <f>+VLOOKUP(K$7-1+$C115,daily!$D$3:$E$1548,2,0)</f>
        <v>0</v>
      </c>
      <c r="L115" s="42">
        <f>+VLOOKUP(L$7-1+$C115,daily!$D$3:$E$1548,2,0)</f>
        <v>0</v>
      </c>
    </row>
    <row r="116" spans="2:12" ht="18.75" customHeight="1" x14ac:dyDescent="0.25">
      <c r="B116" s="40">
        <f t="shared" si="28"/>
        <v>16</v>
      </c>
      <c r="C116" s="41">
        <f t="shared" si="27"/>
        <v>106</v>
      </c>
      <c r="D116" s="42">
        <f>+VLOOKUP(D$7-1+$C116,daily!$D$3:$E$1548,2,0)</f>
        <v>473</v>
      </c>
      <c r="E116" s="42">
        <f>+VLOOKUP(E$7-1+$C116,daily!$D$3:$E$1548,2,0)</f>
        <v>0</v>
      </c>
      <c r="F116" s="42">
        <f>+VLOOKUP(F$7-1+$C116,daily!$D$3:$E$1548,2,0)</f>
        <v>0</v>
      </c>
      <c r="G116" s="42">
        <f>+VLOOKUP(G$7-1+$C116,daily!$D$3:$E$1548,2,0)</f>
        <v>0</v>
      </c>
      <c r="H116" s="42">
        <f>+VLOOKUP(H$7-1+$C116,daily!$D$3:$E$1548,2,0)</f>
        <v>0</v>
      </c>
      <c r="I116" s="42">
        <f>+VLOOKUP(I$7-1+$C116,daily!$D$3:$E$1548,2,0)</f>
        <v>0</v>
      </c>
      <c r="J116" s="42">
        <f>+VLOOKUP(J$7-1+$C116,daily!$D$3:$E$1548,2,0)</f>
        <v>0</v>
      </c>
      <c r="K116" s="42">
        <f>+VLOOKUP(K$7-1+$C116,daily!$D$3:$E$1548,2,0)</f>
        <v>0</v>
      </c>
      <c r="L116" s="42">
        <f>+VLOOKUP(L$7-1+$C116,daily!$D$3:$E$1548,2,0)</f>
        <v>0</v>
      </c>
    </row>
    <row r="117" spans="2:12" ht="18.75" customHeight="1" x14ac:dyDescent="0.25">
      <c r="B117" s="40">
        <f t="shared" si="28"/>
        <v>16</v>
      </c>
      <c r="C117" s="41">
        <f t="shared" si="27"/>
        <v>107</v>
      </c>
      <c r="D117" s="42">
        <f>+VLOOKUP(D$7-1+$C117,daily!$D$3:$E$1548,2,0)</f>
        <v>712</v>
      </c>
      <c r="E117" s="42">
        <f>+VLOOKUP(E$7-1+$C117,daily!$D$3:$E$1548,2,0)</f>
        <v>0</v>
      </c>
      <c r="F117" s="42">
        <f>+VLOOKUP(F$7-1+$C117,daily!$D$3:$E$1548,2,0)</f>
        <v>0</v>
      </c>
      <c r="G117" s="42">
        <f>+VLOOKUP(G$7-1+$C117,daily!$D$3:$E$1548,2,0)</f>
        <v>0</v>
      </c>
      <c r="H117" s="42">
        <f>+VLOOKUP(H$7-1+$C117,daily!$D$3:$E$1548,2,0)</f>
        <v>0</v>
      </c>
      <c r="I117" s="42">
        <f>+VLOOKUP(I$7-1+$C117,daily!$D$3:$E$1548,2,0)</f>
        <v>0</v>
      </c>
      <c r="J117" s="42">
        <f>+VLOOKUP(J$7-1+$C117,daily!$D$3:$E$1548,2,0)</f>
        <v>0</v>
      </c>
      <c r="K117" s="42">
        <f>+VLOOKUP(K$7-1+$C117,daily!$D$3:$E$1548,2,0)</f>
        <v>0</v>
      </c>
      <c r="L117" s="42">
        <f>+VLOOKUP(L$7-1+$C117,daily!$D$3:$E$1548,2,0)</f>
        <v>0</v>
      </c>
    </row>
    <row r="118" spans="2:12" ht="18.75" customHeight="1" x14ac:dyDescent="0.25">
      <c r="B118" s="40">
        <f t="shared" si="28"/>
        <v>16</v>
      </c>
      <c r="C118" s="41">
        <f t="shared" si="27"/>
        <v>108</v>
      </c>
      <c r="D118" s="42">
        <f>+VLOOKUP(D$7-1+$C118,daily!$D$3:$E$1548,2,0)</f>
        <v>1369</v>
      </c>
      <c r="E118" s="42">
        <f>+VLOOKUP(E$7-1+$C118,daily!$D$3:$E$1548,2,0)</f>
        <v>0</v>
      </c>
      <c r="F118" s="42">
        <f>+VLOOKUP(F$7-1+$C118,daily!$D$3:$E$1548,2,0)</f>
        <v>0</v>
      </c>
      <c r="G118" s="42">
        <f>+VLOOKUP(G$7-1+$C118,daily!$D$3:$E$1548,2,0)</f>
        <v>0</v>
      </c>
      <c r="H118" s="42">
        <f>+VLOOKUP(H$7-1+$C118,daily!$D$3:$E$1548,2,0)</f>
        <v>0</v>
      </c>
      <c r="I118" s="42">
        <f>+VLOOKUP(I$7-1+$C118,daily!$D$3:$E$1548,2,0)</f>
        <v>0</v>
      </c>
      <c r="J118" s="42">
        <f>+VLOOKUP(J$7-1+$C118,daily!$D$3:$E$1548,2,0)</f>
        <v>0</v>
      </c>
      <c r="K118" s="42">
        <f>+VLOOKUP(K$7-1+$C118,daily!$D$3:$E$1548,2,0)</f>
        <v>0</v>
      </c>
      <c r="L118" s="42">
        <f>+VLOOKUP(L$7-1+$C118,daily!$D$3:$E$1548,2,0)</f>
        <v>0</v>
      </c>
    </row>
    <row r="119" spans="2:12" ht="18.75" customHeight="1" x14ac:dyDescent="0.25">
      <c r="B119" s="40">
        <f t="shared" si="28"/>
        <v>16</v>
      </c>
      <c r="C119" s="41">
        <f t="shared" si="27"/>
        <v>109</v>
      </c>
      <c r="D119" s="42">
        <f>+VLOOKUP(D$7-1+$C119,daily!$D$3:$E$1548,2,0)</f>
        <v>1223</v>
      </c>
      <c r="E119" s="42">
        <f>+VLOOKUP(E$7-1+$C119,daily!$D$3:$E$1548,2,0)</f>
        <v>0</v>
      </c>
      <c r="F119" s="42">
        <f>+VLOOKUP(F$7-1+$C119,daily!$D$3:$E$1548,2,0)</f>
        <v>0</v>
      </c>
      <c r="G119" s="42">
        <f>+VLOOKUP(G$7-1+$C119,daily!$D$3:$E$1548,2,0)</f>
        <v>0</v>
      </c>
      <c r="H119" s="42">
        <f>+VLOOKUP(H$7-1+$C119,daily!$D$3:$E$1548,2,0)</f>
        <v>0</v>
      </c>
      <c r="I119" s="42">
        <f>+VLOOKUP(I$7-1+$C119,daily!$D$3:$E$1548,2,0)</f>
        <v>0</v>
      </c>
      <c r="J119" s="42">
        <f>+VLOOKUP(J$7-1+$C119,daily!$D$3:$E$1548,2,0)</f>
        <v>0</v>
      </c>
      <c r="K119" s="42">
        <f>+VLOOKUP(K$7-1+$C119,daily!$D$3:$E$1548,2,0)</f>
        <v>0</v>
      </c>
      <c r="L119" s="42">
        <f>+VLOOKUP(L$7-1+$C119,daily!$D$3:$E$1548,2,0)</f>
        <v>0</v>
      </c>
    </row>
    <row r="120" spans="2:12" ht="18.75" customHeight="1" x14ac:dyDescent="0.25">
      <c r="B120" s="40">
        <f t="shared" si="28"/>
        <v>16</v>
      </c>
      <c r="C120" s="41">
        <f t="shared" si="27"/>
        <v>110</v>
      </c>
      <c r="D120" s="42">
        <f>+VLOOKUP(D$7-1+$C120,daily!$D$3:$E$1548,2,0)</f>
        <v>751</v>
      </c>
      <c r="E120" s="42">
        <f>+VLOOKUP(E$7-1+$C120,daily!$D$3:$E$1548,2,0)</f>
        <v>0</v>
      </c>
      <c r="F120" s="42">
        <f>+VLOOKUP(F$7-1+$C120,daily!$D$3:$E$1548,2,0)</f>
        <v>0</v>
      </c>
      <c r="G120" s="42">
        <f>+VLOOKUP(G$7-1+$C120,daily!$D$3:$E$1548,2,0)</f>
        <v>0</v>
      </c>
      <c r="H120" s="42">
        <f>+VLOOKUP(H$7-1+$C120,daily!$D$3:$E$1548,2,0)</f>
        <v>0</v>
      </c>
      <c r="I120" s="42">
        <f>+VLOOKUP(I$7-1+$C120,daily!$D$3:$E$1548,2,0)</f>
        <v>0</v>
      </c>
      <c r="J120" s="42">
        <f>+VLOOKUP(J$7-1+$C120,daily!$D$3:$E$1548,2,0)</f>
        <v>0</v>
      </c>
      <c r="K120" s="42">
        <f>+VLOOKUP(K$7-1+$C120,daily!$D$3:$E$1548,2,0)</f>
        <v>0</v>
      </c>
      <c r="L120" s="42">
        <f>+VLOOKUP(L$7-1+$C120,daily!$D$3:$E$1548,2,0)</f>
        <v>0</v>
      </c>
    </row>
    <row r="121" spans="2:12" ht="18.75" customHeight="1" x14ac:dyDescent="0.25">
      <c r="B121" s="40">
        <f t="shared" si="28"/>
        <v>16</v>
      </c>
      <c r="C121" s="41">
        <f t="shared" si="27"/>
        <v>111</v>
      </c>
      <c r="D121" s="42">
        <f>+VLOOKUP(D$7-1+$C121,daily!$D$3:$E$1548,2,0)</f>
        <v>690</v>
      </c>
      <c r="E121" s="42">
        <f>+VLOOKUP(E$7-1+$C121,daily!$D$3:$E$1548,2,0)</f>
        <v>0</v>
      </c>
      <c r="F121" s="42">
        <f>+VLOOKUP(F$7-1+$C121,daily!$D$3:$E$1548,2,0)</f>
        <v>0</v>
      </c>
      <c r="G121" s="42">
        <f>+VLOOKUP(G$7-1+$C121,daily!$D$3:$E$1548,2,0)</f>
        <v>0</v>
      </c>
      <c r="H121" s="42">
        <f>+VLOOKUP(H$7-1+$C121,daily!$D$3:$E$1548,2,0)</f>
        <v>0</v>
      </c>
      <c r="I121" s="42">
        <f>+VLOOKUP(I$7-1+$C121,daily!$D$3:$E$1548,2,0)</f>
        <v>0</v>
      </c>
      <c r="J121" s="42">
        <f>+VLOOKUP(J$7-1+$C121,daily!$D$3:$E$1548,2,0)</f>
        <v>0</v>
      </c>
      <c r="K121" s="42">
        <f>+VLOOKUP(K$7-1+$C121,daily!$D$3:$E$1548,2,0)</f>
        <v>0</v>
      </c>
      <c r="L121" s="42">
        <f>+VLOOKUP(L$7-1+$C121,daily!$D$3:$E$1548,2,0)</f>
        <v>0</v>
      </c>
    </row>
    <row r="122" spans="2:12" ht="18.75" customHeight="1" x14ac:dyDescent="0.25">
      <c r="B122" s="40">
        <f t="shared" si="28"/>
        <v>16</v>
      </c>
      <c r="C122" s="41">
        <f t="shared" si="27"/>
        <v>112</v>
      </c>
      <c r="D122" s="42">
        <f>+VLOOKUP(D$7-1+$C122,daily!$D$3:$E$1548,2,0)</f>
        <v>960</v>
      </c>
      <c r="E122" s="42">
        <f>+VLOOKUP(E$7-1+$C122,daily!$D$3:$E$1548,2,0)</f>
        <v>0</v>
      </c>
      <c r="F122" s="42">
        <f>+VLOOKUP(F$7-1+$C122,daily!$D$3:$E$1548,2,0)</f>
        <v>0</v>
      </c>
      <c r="G122" s="42">
        <f>+VLOOKUP(G$7-1+$C122,daily!$D$3:$E$1548,2,0)</f>
        <v>0</v>
      </c>
      <c r="H122" s="42">
        <f>+VLOOKUP(H$7-1+$C122,daily!$D$3:$E$1548,2,0)</f>
        <v>0</v>
      </c>
      <c r="I122" s="42">
        <f>+VLOOKUP(I$7-1+$C122,daily!$D$3:$E$1548,2,0)</f>
        <v>0</v>
      </c>
      <c r="J122" s="42">
        <f>+VLOOKUP(J$7-1+$C122,daily!$D$3:$E$1548,2,0)</f>
        <v>0</v>
      </c>
      <c r="K122" s="42">
        <f>+VLOOKUP(K$7-1+$C122,daily!$D$3:$E$1548,2,0)</f>
        <v>0</v>
      </c>
      <c r="L122" s="42">
        <f>+VLOOKUP(L$7-1+$C122,daily!$D$3:$E$1548,2,0)</f>
        <v>0</v>
      </c>
    </row>
    <row r="123" spans="2:12" ht="18.75" customHeight="1" x14ac:dyDescent="0.25">
      <c r="B123" s="40">
        <f t="shared" si="28"/>
        <v>17</v>
      </c>
      <c r="C123" s="41">
        <f t="shared" si="27"/>
        <v>113</v>
      </c>
      <c r="D123" s="42">
        <f>+VLOOKUP(D$7-1+$C123,daily!$D$3:$E$1548,2,0)</f>
        <v>637</v>
      </c>
      <c r="E123" s="42">
        <f>+VLOOKUP(E$7-1+$C123,daily!$D$3:$E$1548,2,0)</f>
        <v>0</v>
      </c>
      <c r="F123" s="42">
        <f>+VLOOKUP(F$7-1+$C123,daily!$D$3:$E$1548,2,0)</f>
        <v>0</v>
      </c>
      <c r="G123" s="42">
        <f>+VLOOKUP(G$7-1+$C123,daily!$D$3:$E$1548,2,0)</f>
        <v>0</v>
      </c>
      <c r="H123" s="42">
        <f>+VLOOKUP(H$7-1+$C123,daily!$D$3:$E$1548,2,0)</f>
        <v>0</v>
      </c>
      <c r="I123" s="42">
        <f>+VLOOKUP(I$7-1+$C123,daily!$D$3:$E$1548,2,0)</f>
        <v>0</v>
      </c>
      <c r="J123" s="42">
        <f>+VLOOKUP(J$7-1+$C123,daily!$D$3:$E$1548,2,0)</f>
        <v>0</v>
      </c>
      <c r="K123" s="42">
        <f>+VLOOKUP(K$7-1+$C123,daily!$D$3:$E$1548,2,0)</f>
        <v>0</v>
      </c>
      <c r="L123" s="42">
        <f>+VLOOKUP(L$7-1+$C123,daily!$D$3:$E$1548,2,0)</f>
        <v>0</v>
      </c>
    </row>
    <row r="124" spans="2:12" ht="18.75" customHeight="1" x14ac:dyDescent="0.25">
      <c r="B124" s="40">
        <f t="shared" si="28"/>
        <v>17</v>
      </c>
      <c r="C124" s="41">
        <f t="shared" si="27"/>
        <v>114</v>
      </c>
      <c r="D124" s="42">
        <f>+VLOOKUP(D$7-1+$C124,daily!$D$3:$E$1548,2,0)</f>
        <v>965</v>
      </c>
      <c r="E124" s="42">
        <f>+VLOOKUP(E$7-1+$C124,daily!$D$3:$E$1548,2,0)</f>
        <v>0</v>
      </c>
      <c r="F124" s="42">
        <f>+VLOOKUP(F$7-1+$C124,daily!$D$3:$E$1548,2,0)</f>
        <v>0</v>
      </c>
      <c r="G124" s="42">
        <f>+VLOOKUP(G$7-1+$C124,daily!$D$3:$E$1548,2,0)</f>
        <v>0</v>
      </c>
      <c r="H124" s="42">
        <f>+VLOOKUP(H$7-1+$C124,daily!$D$3:$E$1548,2,0)</f>
        <v>0</v>
      </c>
      <c r="I124" s="42">
        <f>+VLOOKUP(I$7-1+$C124,daily!$D$3:$E$1548,2,0)</f>
        <v>0</v>
      </c>
      <c r="J124" s="42">
        <f>+VLOOKUP(J$7-1+$C124,daily!$D$3:$E$1548,2,0)</f>
        <v>0</v>
      </c>
      <c r="K124" s="42">
        <f>+VLOOKUP(K$7-1+$C124,daily!$D$3:$E$1548,2,0)</f>
        <v>0</v>
      </c>
      <c r="L124" s="42">
        <f>+VLOOKUP(L$7-1+$C124,daily!$D$3:$E$1548,2,0)</f>
        <v>0</v>
      </c>
    </row>
    <row r="125" spans="2:12" ht="18.75" customHeight="1" x14ac:dyDescent="0.25">
      <c r="B125" s="40">
        <f t="shared" si="28"/>
        <v>17</v>
      </c>
      <c r="C125" s="41">
        <f t="shared" si="27"/>
        <v>115</v>
      </c>
      <c r="D125" s="42">
        <f>+VLOOKUP(D$7-1+$C125,daily!$D$3:$E$1548,2,0)</f>
        <v>1879</v>
      </c>
      <c r="E125" s="42">
        <f>+VLOOKUP(E$7-1+$C125,daily!$D$3:$E$1548,2,0)</f>
        <v>0</v>
      </c>
      <c r="F125" s="42">
        <f>+VLOOKUP(F$7-1+$C125,daily!$D$3:$E$1548,2,0)</f>
        <v>0</v>
      </c>
      <c r="G125" s="42">
        <f>+VLOOKUP(G$7-1+$C125,daily!$D$3:$E$1548,2,0)</f>
        <v>0</v>
      </c>
      <c r="H125" s="42">
        <f>+VLOOKUP(H$7-1+$C125,daily!$D$3:$E$1548,2,0)</f>
        <v>0</v>
      </c>
      <c r="I125" s="42">
        <f>+VLOOKUP(I$7-1+$C125,daily!$D$3:$E$1548,2,0)</f>
        <v>0</v>
      </c>
      <c r="J125" s="42">
        <f>+VLOOKUP(J$7-1+$C125,daily!$D$3:$E$1548,2,0)</f>
        <v>0</v>
      </c>
      <c r="K125" s="42">
        <f>+VLOOKUP(K$7-1+$C125,daily!$D$3:$E$1548,2,0)</f>
        <v>0</v>
      </c>
      <c r="L125" s="42">
        <f>+VLOOKUP(L$7-1+$C125,daily!$D$3:$E$1548,2,0)</f>
        <v>0</v>
      </c>
    </row>
    <row r="126" spans="2:12" ht="18.75" customHeight="1" x14ac:dyDescent="0.25">
      <c r="B126" s="40">
        <f t="shared" si="28"/>
        <v>17</v>
      </c>
      <c r="C126" s="41">
        <f t="shared" si="27"/>
        <v>116</v>
      </c>
      <c r="D126" s="42">
        <f>+VLOOKUP(D$7-1+$C126,daily!$D$3:$E$1548,2,0)</f>
        <v>1832</v>
      </c>
      <c r="E126" s="42">
        <f>+VLOOKUP(E$7-1+$C126,daily!$D$3:$E$1548,2,0)</f>
        <v>0</v>
      </c>
      <c r="F126" s="42">
        <f>+VLOOKUP(F$7-1+$C126,daily!$D$3:$E$1548,2,0)</f>
        <v>0</v>
      </c>
      <c r="G126" s="42">
        <f>+VLOOKUP(G$7-1+$C126,daily!$D$3:$E$1548,2,0)</f>
        <v>0</v>
      </c>
      <c r="H126" s="42">
        <f>+VLOOKUP(H$7-1+$C126,daily!$D$3:$E$1548,2,0)</f>
        <v>0</v>
      </c>
      <c r="I126" s="42">
        <f>+VLOOKUP(I$7-1+$C126,daily!$D$3:$E$1548,2,0)</f>
        <v>0</v>
      </c>
      <c r="J126" s="42">
        <f>+VLOOKUP(J$7-1+$C126,daily!$D$3:$E$1548,2,0)</f>
        <v>0</v>
      </c>
      <c r="K126" s="42">
        <f>+VLOOKUP(K$7-1+$C126,daily!$D$3:$E$1548,2,0)</f>
        <v>0</v>
      </c>
      <c r="L126" s="42">
        <f>+VLOOKUP(L$7-1+$C126,daily!$D$3:$E$1548,2,0)</f>
        <v>0</v>
      </c>
    </row>
    <row r="127" spans="2:12" ht="18.75" customHeight="1" x14ac:dyDescent="0.25">
      <c r="B127" s="40">
        <f t="shared" si="28"/>
        <v>17</v>
      </c>
      <c r="C127" s="41">
        <f t="shared" si="27"/>
        <v>117</v>
      </c>
      <c r="D127" s="42">
        <f>+VLOOKUP(D$7-1+$C127,daily!$D$3:$E$1548,2,0)</f>
        <v>1042</v>
      </c>
      <c r="E127" s="42">
        <f>+VLOOKUP(E$7-1+$C127,daily!$D$3:$E$1548,2,0)</f>
        <v>0</v>
      </c>
      <c r="F127" s="42">
        <f>+VLOOKUP(F$7-1+$C127,daily!$D$3:$E$1548,2,0)</f>
        <v>0</v>
      </c>
      <c r="G127" s="42">
        <f>+VLOOKUP(G$7-1+$C127,daily!$D$3:$E$1548,2,0)</f>
        <v>0</v>
      </c>
      <c r="H127" s="42">
        <f>+VLOOKUP(H$7-1+$C127,daily!$D$3:$E$1548,2,0)</f>
        <v>0</v>
      </c>
      <c r="I127" s="42">
        <f>+VLOOKUP(I$7-1+$C127,daily!$D$3:$E$1548,2,0)</f>
        <v>0</v>
      </c>
      <c r="J127" s="42">
        <f>+VLOOKUP(J$7-1+$C127,daily!$D$3:$E$1548,2,0)</f>
        <v>0</v>
      </c>
      <c r="K127" s="42">
        <f>+VLOOKUP(K$7-1+$C127,daily!$D$3:$E$1548,2,0)</f>
        <v>0</v>
      </c>
      <c r="L127" s="42">
        <f>+VLOOKUP(L$7-1+$C127,daily!$D$3:$E$1548,2,0)</f>
        <v>0</v>
      </c>
    </row>
    <row r="128" spans="2:12" ht="18.75" customHeight="1" x14ac:dyDescent="0.25">
      <c r="B128" s="40">
        <f t="shared" si="28"/>
        <v>17</v>
      </c>
      <c r="C128" s="41">
        <f t="shared" si="27"/>
        <v>118</v>
      </c>
      <c r="D128" s="42">
        <f>+VLOOKUP(D$7-1+$C128,daily!$D$3:$E$1548,2,0)</f>
        <v>1091</v>
      </c>
      <c r="E128" s="42">
        <f>+VLOOKUP(E$7-1+$C128,daily!$D$3:$E$1548,2,0)</f>
        <v>0</v>
      </c>
      <c r="F128" s="42">
        <f>+VLOOKUP(F$7-1+$C128,daily!$D$3:$E$1548,2,0)</f>
        <v>0</v>
      </c>
      <c r="G128" s="42">
        <f>+VLOOKUP(G$7-1+$C128,daily!$D$3:$E$1548,2,0)</f>
        <v>0</v>
      </c>
      <c r="H128" s="42">
        <f>+VLOOKUP(H$7-1+$C128,daily!$D$3:$E$1548,2,0)</f>
        <v>0</v>
      </c>
      <c r="I128" s="42">
        <f>+VLOOKUP(I$7-1+$C128,daily!$D$3:$E$1548,2,0)</f>
        <v>0</v>
      </c>
      <c r="J128" s="42">
        <f>+VLOOKUP(J$7-1+$C128,daily!$D$3:$E$1548,2,0)</f>
        <v>0</v>
      </c>
      <c r="K128" s="42">
        <f>+VLOOKUP(K$7-1+$C128,daily!$D$3:$E$1548,2,0)</f>
        <v>0</v>
      </c>
      <c r="L128" s="42">
        <f>+VLOOKUP(L$7-1+$C128,daily!$D$3:$E$1548,2,0)</f>
        <v>0</v>
      </c>
    </row>
    <row r="129" spans="2:12" ht="18.75" customHeight="1" x14ac:dyDescent="0.25">
      <c r="B129" s="40">
        <f t="shared" si="28"/>
        <v>17</v>
      </c>
      <c r="C129" s="41">
        <f t="shared" si="27"/>
        <v>119</v>
      </c>
      <c r="D129" s="42">
        <f>+VLOOKUP(D$7-1+$C129,daily!$D$3:$E$1548,2,0)</f>
        <v>1156</v>
      </c>
      <c r="E129" s="42">
        <f>+VLOOKUP(E$7-1+$C129,daily!$D$3:$E$1548,2,0)</f>
        <v>0</v>
      </c>
      <c r="F129" s="42">
        <f>+VLOOKUP(F$7-1+$C129,daily!$D$3:$E$1548,2,0)</f>
        <v>0</v>
      </c>
      <c r="G129" s="42">
        <f>+VLOOKUP(G$7-1+$C129,daily!$D$3:$E$1548,2,0)</f>
        <v>0</v>
      </c>
      <c r="H129" s="42">
        <f>+VLOOKUP(H$7-1+$C129,daily!$D$3:$E$1548,2,0)</f>
        <v>0</v>
      </c>
      <c r="I129" s="42">
        <f>+VLOOKUP(I$7-1+$C129,daily!$D$3:$E$1548,2,0)</f>
        <v>0</v>
      </c>
      <c r="J129" s="42">
        <f>+VLOOKUP(J$7-1+$C129,daily!$D$3:$E$1548,2,0)</f>
        <v>0</v>
      </c>
      <c r="K129" s="42">
        <f>+VLOOKUP(K$7-1+$C129,daily!$D$3:$E$1548,2,0)</f>
        <v>0</v>
      </c>
      <c r="L129" s="42">
        <f>+VLOOKUP(L$7-1+$C129,daily!$D$3:$E$1548,2,0)</f>
        <v>0</v>
      </c>
    </row>
    <row r="130" spans="2:12" ht="18.75" customHeight="1" x14ac:dyDescent="0.25">
      <c r="B130" s="40">
        <f t="shared" si="28"/>
        <v>18</v>
      </c>
      <c r="C130" s="41">
        <f t="shared" si="27"/>
        <v>120</v>
      </c>
      <c r="D130" s="42">
        <f>+VLOOKUP(D$7-1+$C130,daily!$D$3:$E$1548,2,0)</f>
        <v>1170</v>
      </c>
      <c r="E130" s="42">
        <f>+VLOOKUP(E$7-1+$C130,daily!$D$3:$E$1548,2,0)</f>
        <v>0</v>
      </c>
      <c r="F130" s="42">
        <f>+VLOOKUP(F$7-1+$C130,daily!$D$3:$E$1548,2,0)</f>
        <v>0</v>
      </c>
      <c r="G130" s="42">
        <f>+VLOOKUP(G$7-1+$C130,daily!$D$3:$E$1548,2,0)</f>
        <v>0</v>
      </c>
      <c r="H130" s="42">
        <f>+VLOOKUP(H$7-1+$C130,daily!$D$3:$E$1548,2,0)</f>
        <v>0</v>
      </c>
      <c r="I130" s="42">
        <f>+VLOOKUP(I$7-1+$C130,daily!$D$3:$E$1548,2,0)</f>
        <v>0</v>
      </c>
      <c r="J130" s="42">
        <f>+VLOOKUP(J$7-1+$C130,daily!$D$3:$E$1548,2,0)</f>
        <v>0</v>
      </c>
      <c r="K130" s="42">
        <f>+VLOOKUP(K$7-1+$C130,daily!$D$3:$E$1548,2,0)</f>
        <v>0</v>
      </c>
      <c r="L130" s="42">
        <f>+VLOOKUP(L$7-1+$C130,daily!$D$3:$E$1548,2,0)</f>
        <v>0</v>
      </c>
    </row>
    <row r="131" spans="2:12" ht="18.75" customHeight="1" x14ac:dyDescent="0.25">
      <c r="B131" s="40">
        <f t="shared" si="28"/>
        <v>18</v>
      </c>
      <c r="C131" s="41">
        <f t="shared" si="27"/>
        <v>121</v>
      </c>
      <c r="D131" s="42">
        <f>+VLOOKUP(D$7-1+$C131,daily!$D$3:$E$1548,2,0)</f>
        <v>1393</v>
      </c>
      <c r="E131" s="42">
        <f>+VLOOKUP(E$7-1+$C131,daily!$D$3:$E$1548,2,0)</f>
        <v>0</v>
      </c>
      <c r="F131" s="42">
        <f>+VLOOKUP(F$7-1+$C131,daily!$D$3:$E$1548,2,0)</f>
        <v>0</v>
      </c>
      <c r="G131" s="42">
        <f>+VLOOKUP(G$7-1+$C131,daily!$D$3:$E$1548,2,0)</f>
        <v>0</v>
      </c>
      <c r="H131" s="42">
        <f>+VLOOKUP(H$7-1+$C131,daily!$D$3:$E$1548,2,0)</f>
        <v>0</v>
      </c>
      <c r="I131" s="42">
        <f>+VLOOKUP(I$7-1+$C131,daily!$D$3:$E$1548,2,0)</f>
        <v>0</v>
      </c>
      <c r="J131" s="42">
        <f>+VLOOKUP(J$7-1+$C131,daily!$D$3:$E$1548,2,0)</f>
        <v>0</v>
      </c>
      <c r="K131" s="42">
        <f>+VLOOKUP(K$7-1+$C131,daily!$D$3:$E$1548,2,0)</f>
        <v>0</v>
      </c>
      <c r="L131" s="42">
        <f>+VLOOKUP(L$7-1+$C131,daily!$D$3:$E$1548,2,0)</f>
        <v>0</v>
      </c>
    </row>
    <row r="132" spans="2:12" ht="18.75" customHeight="1" x14ac:dyDescent="0.25">
      <c r="B132" s="40">
        <f t="shared" si="28"/>
        <v>18</v>
      </c>
      <c r="C132" s="41">
        <f t="shared" si="27"/>
        <v>122</v>
      </c>
      <c r="D132" s="42">
        <f>+VLOOKUP(D$7-1+$C132,daily!$D$3:$E$1548,2,0)</f>
        <v>2534</v>
      </c>
      <c r="E132" s="42">
        <f>+VLOOKUP(E$7-1+$C132,daily!$D$3:$E$1548,2,0)</f>
        <v>0</v>
      </c>
      <c r="F132" s="42">
        <f>+VLOOKUP(F$7-1+$C132,daily!$D$3:$E$1548,2,0)</f>
        <v>0</v>
      </c>
      <c r="G132" s="42">
        <f>+VLOOKUP(G$7-1+$C132,daily!$D$3:$E$1548,2,0)</f>
        <v>0</v>
      </c>
      <c r="H132" s="42">
        <f>+VLOOKUP(H$7-1+$C132,daily!$D$3:$E$1548,2,0)</f>
        <v>0</v>
      </c>
      <c r="I132" s="42">
        <f>+VLOOKUP(I$7-1+$C132,daily!$D$3:$E$1548,2,0)</f>
        <v>0</v>
      </c>
      <c r="J132" s="42">
        <f>+VLOOKUP(J$7-1+$C132,daily!$D$3:$E$1548,2,0)</f>
        <v>0</v>
      </c>
      <c r="K132" s="42">
        <f>+VLOOKUP(K$7-1+$C132,daily!$D$3:$E$1548,2,0)</f>
        <v>0</v>
      </c>
      <c r="L132" s="42">
        <f>+VLOOKUP(L$7-1+$C132,daily!$D$3:$E$1548,2,0)</f>
        <v>0</v>
      </c>
    </row>
    <row r="133" spans="2:12" ht="18.75" customHeight="1" x14ac:dyDescent="0.25">
      <c r="B133" s="40">
        <f t="shared" si="28"/>
        <v>18</v>
      </c>
      <c r="C133" s="41">
        <f t="shared" si="27"/>
        <v>123</v>
      </c>
      <c r="D133" s="42">
        <f>+VLOOKUP(D$7-1+$C133,daily!$D$3:$E$1548,2,0)</f>
        <v>2391</v>
      </c>
      <c r="E133" s="42">
        <f>+VLOOKUP(E$7-1+$C133,daily!$D$3:$E$1548,2,0)</f>
        <v>0</v>
      </c>
      <c r="F133" s="42">
        <f>+VLOOKUP(F$7-1+$C133,daily!$D$3:$E$1548,2,0)</f>
        <v>0</v>
      </c>
      <c r="G133" s="42">
        <f>+VLOOKUP(G$7-1+$C133,daily!$D$3:$E$1548,2,0)</f>
        <v>0</v>
      </c>
      <c r="H133" s="42">
        <f>+VLOOKUP(H$7-1+$C133,daily!$D$3:$E$1548,2,0)</f>
        <v>0</v>
      </c>
      <c r="I133" s="42">
        <f>+VLOOKUP(I$7-1+$C133,daily!$D$3:$E$1548,2,0)</f>
        <v>0</v>
      </c>
      <c r="J133" s="42">
        <f>+VLOOKUP(J$7-1+$C133,daily!$D$3:$E$1548,2,0)</f>
        <v>0</v>
      </c>
      <c r="K133" s="42">
        <f>+VLOOKUP(K$7-1+$C133,daily!$D$3:$E$1548,2,0)</f>
        <v>0</v>
      </c>
      <c r="L133" s="42">
        <f>+VLOOKUP(L$7-1+$C133,daily!$D$3:$E$1548,2,0)</f>
        <v>0</v>
      </c>
    </row>
    <row r="134" spans="2:12" ht="18.75" customHeight="1" x14ac:dyDescent="0.25">
      <c r="B134" s="40">
        <f t="shared" si="28"/>
        <v>18</v>
      </c>
      <c r="C134" s="41">
        <f t="shared" si="27"/>
        <v>124</v>
      </c>
      <c r="D134" s="42">
        <f>+VLOOKUP(D$7-1+$C134,daily!$D$3:$E$1548,2,0)</f>
        <v>642</v>
      </c>
      <c r="E134" s="42">
        <f>+VLOOKUP(E$7-1+$C134,daily!$D$3:$E$1548,2,0)</f>
        <v>0</v>
      </c>
      <c r="F134" s="42">
        <f>+VLOOKUP(F$7-1+$C134,daily!$D$3:$E$1548,2,0)</f>
        <v>0</v>
      </c>
      <c r="G134" s="42">
        <f>+VLOOKUP(G$7-1+$C134,daily!$D$3:$E$1548,2,0)</f>
        <v>0</v>
      </c>
      <c r="H134" s="42">
        <f>+VLOOKUP(H$7-1+$C134,daily!$D$3:$E$1548,2,0)</f>
        <v>0</v>
      </c>
      <c r="I134" s="42">
        <f>+VLOOKUP(I$7-1+$C134,daily!$D$3:$E$1548,2,0)</f>
        <v>0</v>
      </c>
      <c r="J134" s="42">
        <f>+VLOOKUP(J$7-1+$C134,daily!$D$3:$E$1548,2,0)</f>
        <v>0</v>
      </c>
      <c r="K134" s="42">
        <f>+VLOOKUP(K$7-1+$C134,daily!$D$3:$E$1548,2,0)</f>
        <v>0</v>
      </c>
      <c r="L134" s="42">
        <f>+VLOOKUP(L$7-1+$C134,daily!$D$3:$E$1548,2,0)</f>
        <v>0</v>
      </c>
    </row>
    <row r="135" spans="2:12" ht="18.75" customHeight="1" x14ac:dyDescent="0.25">
      <c r="B135" s="40">
        <f t="shared" si="28"/>
        <v>18</v>
      </c>
      <c r="C135" s="41">
        <f t="shared" si="27"/>
        <v>125</v>
      </c>
      <c r="D135" s="42">
        <f>+VLOOKUP(D$7-1+$C135,daily!$D$3:$E$1548,2,0)</f>
        <v>694</v>
      </c>
      <c r="E135" s="42">
        <f>+VLOOKUP(E$7-1+$C135,daily!$D$3:$E$1548,2,0)</f>
        <v>0</v>
      </c>
      <c r="F135" s="42">
        <f>+VLOOKUP(F$7-1+$C135,daily!$D$3:$E$1548,2,0)</f>
        <v>0</v>
      </c>
      <c r="G135" s="42">
        <f>+VLOOKUP(G$7-1+$C135,daily!$D$3:$E$1548,2,0)</f>
        <v>0</v>
      </c>
      <c r="H135" s="42">
        <f>+VLOOKUP(H$7-1+$C135,daily!$D$3:$E$1548,2,0)</f>
        <v>0</v>
      </c>
      <c r="I135" s="42">
        <f>+VLOOKUP(I$7-1+$C135,daily!$D$3:$E$1548,2,0)</f>
        <v>0</v>
      </c>
      <c r="J135" s="42">
        <f>+VLOOKUP(J$7-1+$C135,daily!$D$3:$E$1548,2,0)</f>
        <v>0</v>
      </c>
      <c r="K135" s="42">
        <f>+VLOOKUP(K$7-1+$C135,daily!$D$3:$E$1548,2,0)</f>
        <v>0</v>
      </c>
      <c r="L135" s="42">
        <f>+VLOOKUP(L$7-1+$C135,daily!$D$3:$E$1548,2,0)</f>
        <v>0</v>
      </c>
    </row>
    <row r="136" spans="2:12" ht="18.75" customHeight="1" x14ac:dyDescent="0.25">
      <c r="B136" s="40">
        <f t="shared" si="28"/>
        <v>18</v>
      </c>
      <c r="C136" s="41">
        <f t="shared" si="27"/>
        <v>126</v>
      </c>
      <c r="D136" s="42">
        <f>+VLOOKUP(D$7-1+$C136,daily!$D$3:$E$1548,2,0)</f>
        <v>783</v>
      </c>
      <c r="E136" s="42">
        <f>+VLOOKUP(E$7-1+$C136,daily!$D$3:$E$1548,2,0)</f>
        <v>0</v>
      </c>
      <c r="F136" s="42">
        <f>+VLOOKUP(F$7-1+$C136,daily!$D$3:$E$1548,2,0)</f>
        <v>0</v>
      </c>
      <c r="G136" s="42">
        <f>+VLOOKUP(G$7-1+$C136,daily!$D$3:$E$1548,2,0)</f>
        <v>0</v>
      </c>
      <c r="H136" s="42">
        <f>+VLOOKUP(H$7-1+$C136,daily!$D$3:$E$1548,2,0)</f>
        <v>0</v>
      </c>
      <c r="I136" s="42">
        <f>+VLOOKUP(I$7-1+$C136,daily!$D$3:$E$1548,2,0)</f>
        <v>0</v>
      </c>
      <c r="J136" s="42">
        <f>+VLOOKUP(J$7-1+$C136,daily!$D$3:$E$1548,2,0)</f>
        <v>0</v>
      </c>
      <c r="K136" s="42">
        <f>+VLOOKUP(K$7-1+$C136,daily!$D$3:$E$1548,2,0)</f>
        <v>0</v>
      </c>
      <c r="L136" s="42">
        <f>+VLOOKUP(L$7-1+$C136,daily!$D$3:$E$1548,2,0)</f>
        <v>0</v>
      </c>
    </row>
    <row r="137" spans="2:12" ht="18.75" customHeight="1" x14ac:dyDescent="0.25">
      <c r="B137" s="40">
        <f t="shared" si="28"/>
        <v>19</v>
      </c>
      <c r="C137" s="41">
        <f t="shared" si="27"/>
        <v>127</v>
      </c>
      <c r="D137" s="42">
        <f>+VLOOKUP(D$7-1+$C137,daily!$D$3:$E$1548,2,0)</f>
        <v>0</v>
      </c>
      <c r="E137" s="42">
        <f>+VLOOKUP(E$7-1+$C137,daily!$D$3:$E$1548,2,0)</f>
        <v>0</v>
      </c>
      <c r="F137" s="42">
        <f>+VLOOKUP(F$7-1+$C137,daily!$D$3:$E$1548,2,0)</f>
        <v>0</v>
      </c>
      <c r="G137" s="42">
        <f>+VLOOKUP(G$7-1+$C137,daily!$D$3:$E$1548,2,0)</f>
        <v>0</v>
      </c>
      <c r="H137" s="42">
        <f>+VLOOKUP(H$7-1+$C137,daily!$D$3:$E$1548,2,0)</f>
        <v>0</v>
      </c>
      <c r="I137" s="42">
        <f>+VLOOKUP(I$7-1+$C137,daily!$D$3:$E$1548,2,0)</f>
        <v>0</v>
      </c>
      <c r="J137" s="42">
        <f>+VLOOKUP(J$7-1+$C137,daily!$D$3:$E$1548,2,0)</f>
        <v>0</v>
      </c>
      <c r="K137" s="42">
        <f>+VLOOKUP(K$7-1+$C137,daily!$D$3:$E$1548,2,0)</f>
        <v>0</v>
      </c>
      <c r="L137" s="42">
        <f>+VLOOKUP(L$7-1+$C137,daily!$D$3:$E$1548,2,0)</f>
        <v>0</v>
      </c>
    </row>
    <row r="138" spans="2:12" ht="18.75" customHeight="1" x14ac:dyDescent="0.25">
      <c r="B138" s="40">
        <f t="shared" si="28"/>
        <v>19</v>
      </c>
      <c r="C138" s="41">
        <f t="shared" si="27"/>
        <v>128</v>
      </c>
      <c r="D138" s="42">
        <f>+VLOOKUP(D$7-1+$C138,daily!$D$3:$E$1548,2,0)</f>
        <v>0</v>
      </c>
      <c r="E138" s="42">
        <f>+VLOOKUP(E$7-1+$C138,daily!$D$3:$E$1548,2,0)</f>
        <v>0</v>
      </c>
      <c r="F138" s="42">
        <f>+VLOOKUP(F$7-1+$C138,daily!$D$3:$E$1548,2,0)</f>
        <v>0</v>
      </c>
      <c r="G138" s="42">
        <f>+VLOOKUP(G$7-1+$C138,daily!$D$3:$E$1548,2,0)</f>
        <v>0</v>
      </c>
      <c r="H138" s="42">
        <f>+VLOOKUP(H$7-1+$C138,daily!$D$3:$E$1548,2,0)</f>
        <v>0</v>
      </c>
      <c r="I138" s="42">
        <f>+VLOOKUP(I$7-1+$C138,daily!$D$3:$E$1548,2,0)</f>
        <v>0</v>
      </c>
      <c r="J138" s="42">
        <f>+VLOOKUP(J$7-1+$C138,daily!$D$3:$E$1548,2,0)</f>
        <v>0</v>
      </c>
      <c r="K138" s="42">
        <f>+VLOOKUP(K$7-1+$C138,daily!$D$3:$E$1548,2,0)</f>
        <v>0</v>
      </c>
      <c r="L138" s="42">
        <f>+VLOOKUP(L$7-1+$C138,daily!$D$3:$E$1548,2,0)</f>
        <v>0</v>
      </c>
    </row>
    <row r="139" spans="2:12" ht="18.75" customHeight="1" x14ac:dyDescent="0.25">
      <c r="B139" s="40">
        <f t="shared" si="28"/>
        <v>19</v>
      </c>
      <c r="C139" s="41">
        <f t="shared" si="27"/>
        <v>129</v>
      </c>
      <c r="D139" s="42">
        <f>+VLOOKUP(D$7-1+$C139,daily!$D$3:$E$1548,2,0)</f>
        <v>1939</v>
      </c>
      <c r="E139" s="42">
        <f>+VLOOKUP(E$7-1+$C139,daily!$D$3:$E$1548,2,0)</f>
        <v>0</v>
      </c>
      <c r="F139" s="42">
        <f>+VLOOKUP(F$7-1+$C139,daily!$D$3:$E$1548,2,0)</f>
        <v>0</v>
      </c>
      <c r="G139" s="42">
        <f>+VLOOKUP(G$7-1+$C139,daily!$D$3:$E$1548,2,0)</f>
        <v>0</v>
      </c>
      <c r="H139" s="42">
        <f>+VLOOKUP(H$7-1+$C139,daily!$D$3:$E$1548,2,0)</f>
        <v>0</v>
      </c>
      <c r="I139" s="42">
        <f>+VLOOKUP(I$7-1+$C139,daily!$D$3:$E$1548,2,0)</f>
        <v>0</v>
      </c>
      <c r="J139" s="42">
        <f>+VLOOKUP(J$7-1+$C139,daily!$D$3:$E$1548,2,0)</f>
        <v>0</v>
      </c>
      <c r="K139" s="42">
        <f>+VLOOKUP(K$7-1+$C139,daily!$D$3:$E$1548,2,0)</f>
        <v>0</v>
      </c>
      <c r="L139" s="42">
        <f>+VLOOKUP(L$7-1+$C139,daily!$D$3:$E$1548,2,0)</f>
        <v>0</v>
      </c>
    </row>
    <row r="140" spans="2:12" ht="18.75" customHeight="1" x14ac:dyDescent="0.25">
      <c r="B140" s="40">
        <f t="shared" si="28"/>
        <v>19</v>
      </c>
      <c r="C140" s="41">
        <f t="shared" si="27"/>
        <v>130</v>
      </c>
      <c r="D140" s="42">
        <f>+VLOOKUP(D$7-1+$C140,daily!$D$3:$E$1548,2,0)</f>
        <v>1652</v>
      </c>
      <c r="E140" s="42">
        <f>+VLOOKUP(E$7-1+$C140,daily!$D$3:$E$1548,2,0)</f>
        <v>0</v>
      </c>
      <c r="F140" s="42">
        <f>+VLOOKUP(F$7-1+$C140,daily!$D$3:$E$1548,2,0)</f>
        <v>0</v>
      </c>
      <c r="G140" s="42">
        <f>+VLOOKUP(G$7-1+$C140,daily!$D$3:$E$1548,2,0)</f>
        <v>0</v>
      </c>
      <c r="H140" s="42">
        <f>+VLOOKUP(H$7-1+$C140,daily!$D$3:$E$1548,2,0)</f>
        <v>0</v>
      </c>
      <c r="I140" s="42">
        <f>+VLOOKUP(I$7-1+$C140,daily!$D$3:$E$1548,2,0)</f>
        <v>0</v>
      </c>
      <c r="J140" s="42">
        <f>+VLOOKUP(J$7-1+$C140,daily!$D$3:$E$1548,2,0)</f>
        <v>0</v>
      </c>
      <c r="K140" s="42">
        <f>+VLOOKUP(K$7-1+$C140,daily!$D$3:$E$1548,2,0)</f>
        <v>0</v>
      </c>
      <c r="L140" s="42">
        <f>+VLOOKUP(L$7-1+$C140,daily!$D$3:$E$1548,2,0)</f>
        <v>0</v>
      </c>
    </row>
    <row r="141" spans="2:12" ht="18.75" customHeight="1" x14ac:dyDescent="0.25">
      <c r="B141" s="40">
        <f t="shared" si="28"/>
        <v>19</v>
      </c>
      <c r="C141" s="41">
        <f t="shared" si="27"/>
        <v>131</v>
      </c>
      <c r="D141" s="42">
        <f>+VLOOKUP(D$7-1+$C141,daily!$D$3:$E$1548,2,0)</f>
        <v>861</v>
      </c>
      <c r="E141" s="42">
        <f>+VLOOKUP(E$7-1+$C141,daily!$D$3:$E$1548,2,0)</f>
        <v>0</v>
      </c>
      <c r="F141" s="42">
        <f>+VLOOKUP(F$7-1+$C141,daily!$D$3:$E$1548,2,0)</f>
        <v>0</v>
      </c>
      <c r="G141" s="42">
        <f>+VLOOKUP(G$7-1+$C141,daily!$D$3:$E$1548,2,0)</f>
        <v>0</v>
      </c>
      <c r="H141" s="42">
        <f>+VLOOKUP(H$7-1+$C141,daily!$D$3:$E$1548,2,0)</f>
        <v>0</v>
      </c>
      <c r="I141" s="42">
        <v>0</v>
      </c>
      <c r="J141" s="42">
        <f>+VLOOKUP(J$7-1+$C141,daily!$D$3:$E$1548,2,0)</f>
        <v>0</v>
      </c>
      <c r="K141" s="42">
        <f>+VLOOKUP(K$7-1+$C141,daily!$D$3:$E$1548,2,0)</f>
        <v>0</v>
      </c>
      <c r="L141" s="42">
        <f>+VLOOKUP(L$7-1+$C141,daily!$D$3:$E$1548,2,0)</f>
        <v>0</v>
      </c>
    </row>
    <row r="142" spans="2:12" ht="18.75" customHeight="1" x14ac:dyDescent="0.25">
      <c r="B142" s="40">
        <f t="shared" si="28"/>
        <v>19</v>
      </c>
      <c r="C142" s="41">
        <f t="shared" si="27"/>
        <v>132</v>
      </c>
      <c r="D142" s="42">
        <f>+VLOOKUP(D$7-1+$C142,daily!$D$3:$E$1548,2,0)</f>
        <v>910</v>
      </c>
      <c r="E142" s="42">
        <f>+VLOOKUP(E$7-1+$C142,daily!$D$3:$E$1548,2,0)</f>
        <v>0</v>
      </c>
      <c r="F142" s="42">
        <f>+VLOOKUP(F$7-1+$C142,daily!$D$3:$E$1548,2,0)</f>
        <v>0</v>
      </c>
      <c r="G142" s="42">
        <f>+VLOOKUP(G$7-1+$C142,daily!$D$3:$E$1548,2,0)</f>
        <v>0</v>
      </c>
      <c r="H142" s="42">
        <f>+VLOOKUP(H$7-1+$C142,daily!$D$3:$E$1548,2,0)</f>
        <v>0</v>
      </c>
      <c r="I142" s="42">
        <v>0</v>
      </c>
      <c r="J142" s="42">
        <f>+VLOOKUP(J$7-1+$C142,daily!$D$3:$E$1548,2,0)</f>
        <v>0</v>
      </c>
      <c r="K142" s="42">
        <f>+VLOOKUP(K$7-1+$C142,daily!$D$3:$E$1548,2,0)</f>
        <v>0</v>
      </c>
      <c r="L142" s="42">
        <f>+VLOOKUP(L$7-1+$C142,daily!$D$3:$E$1548,2,0)</f>
        <v>0</v>
      </c>
    </row>
    <row r="143" spans="2:12" ht="18.75" customHeight="1" x14ac:dyDescent="0.25">
      <c r="B143" s="40">
        <f t="shared" si="28"/>
        <v>19</v>
      </c>
      <c r="C143" s="41">
        <f t="shared" si="27"/>
        <v>133</v>
      </c>
      <c r="D143" s="42">
        <f>+VLOOKUP(D$7-1+$C143,daily!$D$3:$E$1548,2,0)</f>
        <v>1057</v>
      </c>
      <c r="E143" s="42">
        <f>+VLOOKUP(E$7-1+$C143,daily!$D$3:$E$1548,2,0)</f>
        <v>0</v>
      </c>
      <c r="F143" s="42">
        <f>+VLOOKUP(F$7-1+$C143,daily!$D$3:$E$1548,2,0)</f>
        <v>0</v>
      </c>
      <c r="G143" s="42">
        <f>+VLOOKUP(G$7-1+$C143,daily!$D$3:$E$1548,2,0)</f>
        <v>0</v>
      </c>
      <c r="H143" s="42">
        <f>+VLOOKUP(H$7-1+$C143,daily!$D$3:$E$1548,2,0)</f>
        <v>0</v>
      </c>
      <c r="I143" s="42">
        <v>0</v>
      </c>
      <c r="J143" s="42">
        <f>+VLOOKUP(J$7-1+$C143,daily!$D$3:$E$1548,2,0)</f>
        <v>0</v>
      </c>
      <c r="K143" s="42">
        <f>+VLOOKUP(K$7-1+$C143,daily!$D$3:$E$1548,2,0)</f>
        <v>0</v>
      </c>
      <c r="L143" s="42">
        <f>+VLOOKUP(L$7-1+$C143,daily!$D$3:$E$1548,2,0)</f>
        <v>0</v>
      </c>
    </row>
    <row r="144" spans="2:12" ht="18.75" customHeight="1" x14ac:dyDescent="0.25">
      <c r="B144" s="40">
        <f t="shared" si="28"/>
        <v>20</v>
      </c>
      <c r="C144" s="41">
        <f t="shared" si="27"/>
        <v>134</v>
      </c>
      <c r="D144" s="42">
        <f>+VLOOKUP(D$7-1+$C144,daily!$D$3:$E$1548,2,0)</f>
        <v>1493</v>
      </c>
      <c r="E144" s="42">
        <f>+VLOOKUP(E$7-1+$C144,daily!$D$3:$E$1548,2,0)</f>
        <v>0</v>
      </c>
      <c r="F144" s="42">
        <f>+VLOOKUP(F$7-1+$C144,daily!$D$3:$E$1548,2,0)</f>
        <v>0</v>
      </c>
      <c r="G144" s="42">
        <f>+VLOOKUP(G$7-1+$C144,daily!$D$3:$E$1548,2,0)</f>
        <v>0</v>
      </c>
      <c r="H144" s="42">
        <f>+VLOOKUP(H$7-1+$C144,daily!$D$3:$E$1548,2,0)</f>
        <v>0</v>
      </c>
      <c r="I144" s="42">
        <v>0</v>
      </c>
      <c r="J144" s="42">
        <f>+VLOOKUP(J$7-1+$C144,daily!$D$3:$E$1548,2,0)</f>
        <v>0</v>
      </c>
      <c r="K144" s="42">
        <f>+VLOOKUP(K$7-1+$C144,daily!$D$3:$E$1548,2,0)</f>
        <v>0</v>
      </c>
      <c r="L144" s="42">
        <f>+VLOOKUP(L$7-1+$C144,daily!$D$3:$E$1548,2,0)</f>
        <v>0</v>
      </c>
    </row>
    <row r="145" spans="2:12" ht="18.75" customHeight="1" x14ac:dyDescent="0.25">
      <c r="B145" s="40">
        <f t="shared" si="28"/>
        <v>20</v>
      </c>
      <c r="C145" s="41">
        <f t="shared" si="27"/>
        <v>135</v>
      </c>
      <c r="D145" s="42">
        <f>+VLOOKUP(D$7-1+$C145,daily!$D$3:$E$1548,2,0)</f>
        <v>2014</v>
      </c>
      <c r="E145" s="42">
        <f>+VLOOKUP(E$7-1+$C145,daily!$D$3:$E$1548,2,0)</f>
        <v>0</v>
      </c>
      <c r="F145" s="42">
        <f>+VLOOKUP(F$7-1+$C145,daily!$D$3:$E$1548,2,0)</f>
        <v>0</v>
      </c>
      <c r="G145" s="42">
        <f>+VLOOKUP(G$7-1+$C145,daily!$D$3:$E$1548,2,0)</f>
        <v>0</v>
      </c>
      <c r="H145" s="42">
        <f>+VLOOKUP(H$7-1+$C145,daily!$D$3:$E$1548,2,0)</f>
        <v>0</v>
      </c>
      <c r="I145" s="42">
        <v>0</v>
      </c>
      <c r="J145" s="42">
        <f>+VLOOKUP(J$7-1+$C145,daily!$D$3:$E$1548,2,0)</f>
        <v>0</v>
      </c>
      <c r="K145" s="42">
        <f>+VLOOKUP(K$7-1+$C145,daily!$D$3:$E$1548,2,0)</f>
        <v>0</v>
      </c>
      <c r="L145" s="42">
        <f>+VLOOKUP(L$7-1+$C145,daily!$D$3:$E$1548,2,0)</f>
        <v>0</v>
      </c>
    </row>
    <row r="146" spans="2:12" ht="18.75" customHeight="1" x14ac:dyDescent="0.25">
      <c r="B146" s="40">
        <f t="shared" si="28"/>
        <v>20</v>
      </c>
      <c r="C146" s="41">
        <f t="shared" si="27"/>
        <v>136</v>
      </c>
      <c r="D146" s="42">
        <f>+VLOOKUP(D$7-1+$C146,daily!$D$3:$E$1548,2,0)</f>
        <v>3306</v>
      </c>
      <c r="E146" s="42">
        <f>+VLOOKUP(E$7-1+$C146,daily!$D$3:$E$1548,2,0)</f>
        <v>0</v>
      </c>
      <c r="F146" s="42">
        <f>+VLOOKUP(F$7-1+$C146,daily!$D$3:$E$1548,2,0)</f>
        <v>0</v>
      </c>
      <c r="G146" s="42">
        <f>+VLOOKUP(G$7-1+$C146,daily!$D$3:$E$1548,2,0)</f>
        <v>0</v>
      </c>
      <c r="H146" s="42">
        <f>+VLOOKUP(H$7-1+$C146,daily!$D$3:$E$1548,2,0)</f>
        <v>0</v>
      </c>
      <c r="I146" s="42">
        <v>0</v>
      </c>
      <c r="J146" s="42">
        <f>+VLOOKUP(J$7-1+$C146,daily!$D$3:$E$1548,2,0)</f>
        <v>0</v>
      </c>
      <c r="K146" s="42">
        <f>+VLOOKUP(K$7-1+$C146,daily!$D$3:$E$1548,2,0)</f>
        <v>0</v>
      </c>
      <c r="L146" s="42">
        <f>+VLOOKUP(L$7-1+$C146,daily!$D$3:$E$1548,2,0)</f>
        <v>0</v>
      </c>
    </row>
    <row r="147" spans="2:12" ht="18.75" customHeight="1" x14ac:dyDescent="0.25">
      <c r="K147"/>
    </row>
    <row r="148" spans="2:12" ht="18.75" customHeight="1" x14ac:dyDescent="0.25">
      <c r="K148"/>
    </row>
    <row r="149" spans="2:12" ht="18.75" customHeight="1" x14ac:dyDescent="0.25">
      <c r="K149"/>
    </row>
    <row r="150" spans="2:12" ht="18.75" customHeight="1" x14ac:dyDescent="0.25">
      <c r="K150"/>
    </row>
    <row r="151" spans="2:12" ht="18.75" customHeight="1" x14ac:dyDescent="0.25">
      <c r="K151"/>
    </row>
    <row r="152" spans="2:12" ht="18.75" customHeight="1" x14ac:dyDescent="0.25">
      <c r="K152"/>
    </row>
    <row r="153" spans="2:12" ht="18.75" customHeight="1" x14ac:dyDescent="0.25">
      <c r="K153"/>
    </row>
    <row r="154" spans="2:12" ht="18.75" customHeight="1" x14ac:dyDescent="0.25">
      <c r="K154"/>
    </row>
    <row r="155" spans="2:12" ht="18.75" customHeight="1" x14ac:dyDescent="0.25">
      <c r="K155"/>
    </row>
    <row r="156" spans="2:12" ht="18.75" customHeight="1" x14ac:dyDescent="0.25">
      <c r="K156"/>
    </row>
    <row r="157" spans="2:12" ht="18.75" customHeight="1" x14ac:dyDescent="0.25">
      <c r="K157"/>
    </row>
    <row r="158" spans="2:12" ht="18.75" customHeight="1" x14ac:dyDescent="0.25">
      <c r="K158"/>
    </row>
    <row r="159" spans="2:12" ht="18.75" customHeight="1" x14ac:dyDescent="0.25">
      <c r="K159"/>
    </row>
    <row r="160" spans="2:12" ht="18.75" customHeight="1" x14ac:dyDescent="0.25">
      <c r="K160"/>
    </row>
    <row r="161" spans="11:11" ht="18.75" customHeight="1" x14ac:dyDescent="0.25">
      <c r="K161"/>
    </row>
    <row r="162" spans="11:11" ht="18.75" customHeight="1" x14ac:dyDescent="0.25">
      <c r="K162"/>
    </row>
    <row r="163" spans="11:11" ht="18.75" customHeight="1" x14ac:dyDescent="0.25">
      <c r="K163"/>
    </row>
    <row r="164" spans="11:11" ht="18.75" customHeight="1" x14ac:dyDescent="0.25">
      <c r="K164"/>
    </row>
    <row r="165" spans="11:11" ht="18.75" customHeight="1" x14ac:dyDescent="0.25">
      <c r="K165"/>
    </row>
    <row r="166" spans="11:11" ht="18.75" customHeight="1" x14ac:dyDescent="0.25">
      <c r="K166"/>
    </row>
    <row r="167" spans="11:11" ht="18.75" customHeight="1" x14ac:dyDescent="0.25">
      <c r="K167"/>
    </row>
    <row r="168" spans="11:11" ht="18.75" customHeight="1" x14ac:dyDescent="0.25">
      <c r="K168"/>
    </row>
    <row r="169" spans="11:11" ht="18.75" customHeight="1" x14ac:dyDescent="0.25">
      <c r="K169"/>
    </row>
    <row r="170" spans="11:11" ht="18.75" customHeight="1" x14ac:dyDescent="0.25">
      <c r="K170"/>
    </row>
    <row r="171" spans="11:11" ht="18.75" customHeight="1" x14ac:dyDescent="0.25">
      <c r="K171"/>
    </row>
    <row r="172" spans="11:11" ht="18.75" customHeight="1" x14ac:dyDescent="0.25">
      <c r="K172"/>
    </row>
    <row r="173" spans="11:11" ht="18.75" customHeight="1" x14ac:dyDescent="0.25">
      <c r="K173"/>
    </row>
    <row r="174" spans="11:11" ht="18.75" customHeight="1" x14ac:dyDescent="0.25">
      <c r="K174"/>
    </row>
    <row r="175" spans="11:11" ht="18.75" customHeight="1" x14ac:dyDescent="0.25">
      <c r="K175"/>
    </row>
    <row r="176" spans="11:11" ht="18.75" customHeight="1" x14ac:dyDescent="0.25">
      <c r="K176"/>
    </row>
    <row r="177" spans="11:11" ht="18.75" customHeight="1" x14ac:dyDescent="0.25">
      <c r="K177"/>
    </row>
    <row r="178" spans="11:11" ht="18.75" customHeight="1" x14ac:dyDescent="0.25">
      <c r="K178"/>
    </row>
    <row r="179" spans="11:11" ht="18.75" customHeight="1" x14ac:dyDescent="0.25">
      <c r="K179"/>
    </row>
    <row r="180" spans="11:11" ht="18.75" customHeight="1" x14ac:dyDescent="0.25">
      <c r="K180"/>
    </row>
    <row r="181" spans="11:11" ht="18.75" customHeight="1" x14ac:dyDescent="0.25">
      <c r="K181"/>
    </row>
    <row r="182" spans="11:11" ht="18.75" customHeight="1" x14ac:dyDescent="0.25">
      <c r="K182"/>
    </row>
    <row r="183" spans="11:11" ht="18.75" customHeight="1" x14ac:dyDescent="0.25">
      <c r="K183"/>
    </row>
    <row r="184" spans="11:11" ht="18.75" customHeight="1" x14ac:dyDescent="0.25">
      <c r="K184"/>
    </row>
    <row r="185" spans="11:11" ht="18.75" customHeight="1" x14ac:dyDescent="0.25">
      <c r="K185"/>
    </row>
    <row r="186" spans="11:11" ht="18.75" customHeight="1" x14ac:dyDescent="0.25">
      <c r="K186"/>
    </row>
    <row r="187" spans="11:11" ht="18.75" customHeight="1" x14ac:dyDescent="0.25">
      <c r="K187"/>
    </row>
    <row r="188" spans="11:11" ht="18.75" customHeight="1" x14ac:dyDescent="0.25">
      <c r="K188"/>
    </row>
    <row r="189" spans="11:11" ht="18.75" customHeight="1" x14ac:dyDescent="0.25">
      <c r="K189"/>
    </row>
    <row r="190" spans="11:11" ht="18.75" customHeight="1" x14ac:dyDescent="0.25">
      <c r="K190"/>
    </row>
    <row r="191" spans="11:11" ht="18.75" customHeight="1" x14ac:dyDescent="0.25">
      <c r="K191"/>
    </row>
    <row r="192" spans="11:11" ht="18.75" customHeight="1" x14ac:dyDescent="0.25">
      <c r="K192"/>
    </row>
    <row r="193" spans="11:11" ht="18.75" customHeight="1" x14ac:dyDescent="0.25">
      <c r="K193"/>
    </row>
    <row r="194" spans="11:11" ht="18.75" customHeight="1" x14ac:dyDescent="0.25">
      <c r="K194"/>
    </row>
    <row r="195" spans="11:11" ht="18.75" customHeight="1" x14ac:dyDescent="0.25">
      <c r="K195"/>
    </row>
    <row r="196" spans="11:11" ht="18.75" customHeight="1" x14ac:dyDescent="0.25">
      <c r="K196"/>
    </row>
    <row r="197" spans="11:11" ht="18.75" customHeight="1" x14ac:dyDescent="0.25">
      <c r="K197"/>
    </row>
    <row r="198" spans="11:11" ht="18.75" customHeight="1" x14ac:dyDescent="0.25">
      <c r="K198"/>
    </row>
    <row r="199" spans="11:11" ht="18.75" customHeight="1" x14ac:dyDescent="0.25">
      <c r="K199"/>
    </row>
    <row r="200" spans="11:11" ht="18.75" customHeight="1" x14ac:dyDescent="0.25">
      <c r="K200"/>
    </row>
    <row r="201" spans="11:11" ht="18.75" customHeight="1" x14ac:dyDescent="0.25">
      <c r="K201"/>
    </row>
    <row r="202" spans="11:11" ht="18.75" customHeight="1" x14ac:dyDescent="0.25">
      <c r="K202"/>
    </row>
    <row r="203" spans="11:11" ht="18.75" customHeight="1" x14ac:dyDescent="0.25">
      <c r="K203"/>
    </row>
    <row r="204" spans="11:11" ht="18.75" customHeight="1" x14ac:dyDescent="0.25">
      <c r="K204"/>
    </row>
    <row r="205" spans="11:11" ht="18.75" customHeight="1" x14ac:dyDescent="0.25">
      <c r="K205"/>
    </row>
    <row r="206" spans="11:11" ht="18.75" customHeight="1" x14ac:dyDescent="0.25">
      <c r="K206"/>
    </row>
    <row r="207" spans="11:11" ht="18.75" customHeight="1" x14ac:dyDescent="0.25">
      <c r="K207"/>
    </row>
    <row r="208" spans="11:11" ht="18.75" customHeight="1" x14ac:dyDescent="0.25">
      <c r="K208"/>
    </row>
    <row r="209" spans="11:11" ht="18.75" customHeight="1" x14ac:dyDescent="0.25">
      <c r="K209"/>
    </row>
    <row r="210" spans="11:11" ht="18.75" customHeight="1" x14ac:dyDescent="0.25">
      <c r="K210"/>
    </row>
    <row r="211" spans="11:11" ht="18.75" customHeight="1" x14ac:dyDescent="0.25">
      <c r="K211"/>
    </row>
    <row r="212" spans="11:11" ht="18.75" customHeight="1" x14ac:dyDescent="0.25">
      <c r="K212"/>
    </row>
    <row r="213" spans="11:11" ht="18.75" customHeight="1" x14ac:dyDescent="0.25">
      <c r="K213"/>
    </row>
    <row r="214" spans="11:11" ht="18.75" customHeight="1" x14ac:dyDescent="0.25">
      <c r="K214"/>
    </row>
    <row r="215" spans="11:11" ht="18.75" customHeight="1" x14ac:dyDescent="0.25">
      <c r="K215"/>
    </row>
    <row r="216" spans="11:11" ht="18.75" customHeight="1" x14ac:dyDescent="0.25">
      <c r="K216"/>
    </row>
    <row r="217" spans="11:11" ht="18.75" customHeight="1" x14ac:dyDescent="0.25">
      <c r="K217"/>
    </row>
    <row r="218" spans="11:11" ht="18.75" customHeight="1" x14ac:dyDescent="0.25">
      <c r="K218"/>
    </row>
    <row r="219" spans="11:11" ht="18.75" customHeight="1" x14ac:dyDescent="0.25">
      <c r="K219"/>
    </row>
    <row r="220" spans="11:11" ht="18.75" customHeight="1" x14ac:dyDescent="0.25">
      <c r="K220"/>
    </row>
    <row r="221" spans="11:11" ht="18.75" customHeight="1" x14ac:dyDescent="0.25">
      <c r="K221"/>
    </row>
    <row r="222" spans="11:11" ht="18.75" customHeight="1" x14ac:dyDescent="0.25">
      <c r="K222"/>
    </row>
    <row r="223" spans="11:11" ht="18.75" customHeight="1" x14ac:dyDescent="0.25">
      <c r="K223"/>
    </row>
    <row r="224" spans="11:11" ht="18.75" customHeight="1" x14ac:dyDescent="0.25">
      <c r="K224"/>
    </row>
    <row r="225" spans="11:11" ht="18.75" customHeight="1" x14ac:dyDescent="0.25">
      <c r="K225"/>
    </row>
    <row r="226" spans="11:11" ht="18.75" customHeight="1" x14ac:dyDescent="0.25">
      <c r="K226"/>
    </row>
    <row r="227" spans="11:11" ht="18.75" customHeight="1" x14ac:dyDescent="0.25">
      <c r="K227"/>
    </row>
    <row r="228" spans="11:11" ht="18.75" customHeight="1" x14ac:dyDescent="0.25">
      <c r="K228"/>
    </row>
    <row r="229" spans="11:11" ht="18.75" customHeight="1" x14ac:dyDescent="0.25">
      <c r="K229"/>
    </row>
    <row r="230" spans="11:11" ht="18.75" customHeight="1" x14ac:dyDescent="0.25">
      <c r="K230"/>
    </row>
    <row r="231" spans="11:11" ht="18.75" customHeight="1" x14ac:dyDescent="0.25">
      <c r="K231"/>
    </row>
    <row r="232" spans="11:11" ht="18.75" customHeight="1" x14ac:dyDescent="0.25">
      <c r="K232"/>
    </row>
    <row r="233" spans="11:11" ht="18.75" customHeight="1" x14ac:dyDescent="0.25">
      <c r="K233"/>
    </row>
    <row r="234" spans="11:11" ht="18.75" customHeight="1" x14ac:dyDescent="0.25">
      <c r="K234"/>
    </row>
    <row r="235" spans="11:11" ht="18.75" customHeight="1" x14ac:dyDescent="0.25">
      <c r="K235"/>
    </row>
    <row r="236" spans="11:11" ht="18.75" customHeight="1" x14ac:dyDescent="0.25">
      <c r="K236"/>
    </row>
    <row r="237" spans="11:11" ht="18.75" customHeight="1" x14ac:dyDescent="0.25">
      <c r="K237"/>
    </row>
    <row r="238" spans="11:11" ht="18.75" customHeight="1" x14ac:dyDescent="0.25">
      <c r="K238"/>
    </row>
    <row r="239" spans="11:11" ht="18.75" customHeight="1" x14ac:dyDescent="0.25">
      <c r="K239"/>
    </row>
    <row r="240" spans="11:11" ht="18.75" customHeight="1" x14ac:dyDescent="0.25">
      <c r="K240"/>
    </row>
    <row r="241" spans="11:11" ht="18.75" customHeight="1" x14ac:dyDescent="0.25">
      <c r="K241"/>
    </row>
    <row r="242" spans="11:11" ht="18.75" customHeight="1" x14ac:dyDescent="0.25">
      <c r="K242"/>
    </row>
    <row r="243" spans="11:11" ht="18.75" customHeight="1" x14ac:dyDescent="0.25">
      <c r="K243"/>
    </row>
    <row r="244" spans="11:11" ht="18.75" customHeight="1" x14ac:dyDescent="0.25">
      <c r="K244"/>
    </row>
    <row r="245" spans="11:11" ht="18.75" customHeight="1" x14ac:dyDescent="0.25">
      <c r="K245"/>
    </row>
    <row r="246" spans="11:11" ht="18.75" customHeight="1" x14ac:dyDescent="0.25">
      <c r="K246"/>
    </row>
    <row r="247" spans="11:11" ht="18.75" customHeight="1" x14ac:dyDescent="0.25">
      <c r="K247"/>
    </row>
    <row r="248" spans="11:11" ht="18.75" customHeight="1" x14ac:dyDescent="0.25">
      <c r="K248"/>
    </row>
    <row r="249" spans="11:11" ht="18.75" customHeight="1" x14ac:dyDescent="0.25">
      <c r="K249"/>
    </row>
    <row r="250" spans="11:11" ht="18.75" customHeight="1" x14ac:dyDescent="0.25">
      <c r="K250"/>
    </row>
    <row r="251" spans="11:11" ht="18.75" customHeight="1" x14ac:dyDescent="0.25">
      <c r="K251"/>
    </row>
    <row r="252" spans="11:11" ht="18.75" customHeight="1" x14ac:dyDescent="0.25">
      <c r="K252"/>
    </row>
    <row r="253" spans="11:11" ht="18.75" customHeight="1" x14ac:dyDescent="0.25">
      <c r="K253"/>
    </row>
    <row r="254" spans="11:11" ht="18.75" customHeight="1" x14ac:dyDescent="0.25">
      <c r="K254"/>
    </row>
    <row r="255" spans="11:11" ht="18.75" customHeight="1" x14ac:dyDescent="0.25">
      <c r="K255"/>
    </row>
    <row r="256" spans="11:11" ht="18.75" customHeight="1" x14ac:dyDescent="0.25">
      <c r="K256"/>
    </row>
    <row r="257" spans="11:11" ht="18.75" customHeight="1" x14ac:dyDescent="0.25">
      <c r="K257"/>
    </row>
    <row r="258" spans="11:11" ht="18.75" customHeight="1" x14ac:dyDescent="0.25">
      <c r="K258"/>
    </row>
    <row r="259" spans="11:11" ht="18.75" customHeight="1" x14ac:dyDescent="0.25">
      <c r="K259"/>
    </row>
    <row r="260" spans="11:11" ht="18.75" customHeight="1" x14ac:dyDescent="0.25">
      <c r="K260"/>
    </row>
    <row r="261" spans="11:11" ht="18.75" customHeight="1" x14ac:dyDescent="0.25">
      <c r="K261"/>
    </row>
    <row r="262" spans="11:11" ht="18.75" customHeight="1" x14ac:dyDescent="0.25">
      <c r="K262"/>
    </row>
    <row r="263" spans="11:11" ht="18.75" customHeight="1" x14ac:dyDescent="0.25">
      <c r="K263"/>
    </row>
    <row r="264" spans="11:11" ht="18.75" customHeight="1" x14ac:dyDescent="0.25">
      <c r="K264"/>
    </row>
    <row r="265" spans="11:11" ht="18.75" customHeight="1" x14ac:dyDescent="0.25">
      <c r="K265"/>
    </row>
    <row r="266" spans="11:11" ht="18.75" customHeight="1" x14ac:dyDescent="0.25">
      <c r="K266"/>
    </row>
    <row r="267" spans="11:11" ht="18.75" customHeight="1" x14ac:dyDescent="0.25">
      <c r="K267"/>
    </row>
    <row r="268" spans="11:11" ht="18.75" customHeight="1" x14ac:dyDescent="0.25">
      <c r="K268"/>
    </row>
    <row r="269" spans="11:11" ht="18.75" customHeight="1" x14ac:dyDescent="0.25">
      <c r="K269"/>
    </row>
    <row r="270" spans="11:11" ht="18.75" customHeight="1" x14ac:dyDescent="0.25">
      <c r="K270"/>
    </row>
    <row r="271" spans="11:11" ht="18.75" customHeight="1" x14ac:dyDescent="0.25">
      <c r="K271"/>
    </row>
    <row r="272" spans="11:11" ht="18.75" customHeight="1" x14ac:dyDescent="0.25">
      <c r="K272"/>
    </row>
    <row r="273" spans="11:11" ht="18.75" customHeight="1" x14ac:dyDescent="0.25">
      <c r="K273"/>
    </row>
    <row r="274" spans="11:11" ht="18.75" customHeight="1" x14ac:dyDescent="0.25">
      <c r="K274"/>
    </row>
    <row r="275" spans="11:11" ht="18.75" customHeight="1" x14ac:dyDescent="0.25">
      <c r="K275"/>
    </row>
    <row r="276" spans="11:11" ht="18.75" customHeight="1" x14ac:dyDescent="0.25">
      <c r="K276"/>
    </row>
    <row r="277" spans="11:11" ht="18.75" customHeight="1" x14ac:dyDescent="0.25">
      <c r="K277"/>
    </row>
    <row r="278" spans="11:11" ht="18.75" customHeight="1" x14ac:dyDescent="0.25">
      <c r="K278"/>
    </row>
    <row r="279" spans="11:11" ht="18.75" customHeight="1" x14ac:dyDescent="0.25">
      <c r="K279"/>
    </row>
    <row r="280" spans="11:11" ht="18.75" customHeight="1" x14ac:dyDescent="0.25">
      <c r="K280"/>
    </row>
    <row r="281" spans="11:11" ht="18.75" customHeight="1" x14ac:dyDescent="0.25">
      <c r="K281"/>
    </row>
    <row r="282" spans="11:11" ht="18.75" customHeight="1" x14ac:dyDescent="0.25">
      <c r="K282"/>
    </row>
    <row r="283" spans="11:11" ht="18.75" customHeight="1" x14ac:dyDescent="0.25">
      <c r="K283"/>
    </row>
    <row r="284" spans="11:11" ht="18.75" customHeight="1" x14ac:dyDescent="0.25">
      <c r="K284"/>
    </row>
    <row r="285" spans="11:11" ht="18.75" customHeight="1" x14ac:dyDescent="0.25">
      <c r="K285"/>
    </row>
    <row r="286" spans="11:11" ht="18.75" customHeight="1" x14ac:dyDescent="0.25">
      <c r="K286"/>
    </row>
    <row r="287" spans="11:11" ht="18.75" customHeight="1" x14ac:dyDescent="0.25">
      <c r="K287"/>
    </row>
    <row r="288" spans="11:11" ht="18.75" customHeight="1" x14ac:dyDescent="0.25">
      <c r="K288"/>
    </row>
    <row r="289" spans="11:11" ht="18.75" customHeight="1" x14ac:dyDescent="0.25">
      <c r="K289"/>
    </row>
    <row r="290" spans="11:11" ht="18.75" customHeight="1" x14ac:dyDescent="0.25">
      <c r="K290"/>
    </row>
    <row r="291" spans="11:11" ht="18.75" customHeight="1" x14ac:dyDescent="0.25">
      <c r="K291"/>
    </row>
    <row r="292" spans="11:11" ht="18.75" customHeight="1" x14ac:dyDescent="0.25">
      <c r="K292"/>
    </row>
    <row r="293" spans="11:11" ht="18.75" customHeight="1" x14ac:dyDescent="0.25">
      <c r="K293"/>
    </row>
    <row r="294" spans="11:11" ht="18.75" customHeight="1" x14ac:dyDescent="0.25">
      <c r="K294"/>
    </row>
    <row r="295" spans="11:11" ht="18.75" customHeight="1" x14ac:dyDescent="0.25">
      <c r="K295"/>
    </row>
    <row r="296" spans="11:11" ht="18.75" customHeight="1" x14ac:dyDescent="0.25">
      <c r="K296"/>
    </row>
    <row r="297" spans="11:11" ht="18.75" customHeight="1" x14ac:dyDescent="0.25">
      <c r="K297"/>
    </row>
    <row r="298" spans="11:11" ht="18.75" customHeight="1" x14ac:dyDescent="0.25">
      <c r="K298"/>
    </row>
    <row r="299" spans="11:11" ht="18.75" customHeight="1" x14ac:dyDescent="0.25">
      <c r="K299"/>
    </row>
    <row r="300" spans="11:11" ht="18.75" customHeight="1" x14ac:dyDescent="0.25">
      <c r="K300"/>
    </row>
    <row r="301" spans="11:11" ht="18.75" customHeight="1" x14ac:dyDescent="0.25">
      <c r="K301"/>
    </row>
    <row r="302" spans="11:11" ht="18.75" customHeight="1" x14ac:dyDescent="0.25">
      <c r="K302"/>
    </row>
    <row r="303" spans="11:11" ht="18.75" customHeight="1" x14ac:dyDescent="0.25">
      <c r="K303"/>
    </row>
    <row r="304" spans="11:11" ht="18.75" customHeight="1" x14ac:dyDescent="0.25">
      <c r="K304"/>
    </row>
    <row r="305" spans="11:11" ht="18.75" customHeight="1" x14ac:dyDescent="0.25">
      <c r="K305"/>
    </row>
    <row r="306" spans="11:11" ht="18.75" customHeight="1" x14ac:dyDescent="0.25">
      <c r="K306"/>
    </row>
    <row r="307" spans="11:11" ht="18.75" customHeight="1" x14ac:dyDescent="0.25">
      <c r="K307"/>
    </row>
    <row r="308" spans="11:11" ht="18.75" customHeight="1" x14ac:dyDescent="0.25">
      <c r="K308"/>
    </row>
    <row r="309" spans="11:11" ht="18.75" customHeight="1" x14ac:dyDescent="0.25">
      <c r="K309"/>
    </row>
    <row r="310" spans="11:11" ht="18.75" customHeight="1" x14ac:dyDescent="0.25">
      <c r="K310"/>
    </row>
    <row r="311" spans="11:11" ht="18.75" customHeight="1" x14ac:dyDescent="0.25">
      <c r="K311"/>
    </row>
    <row r="312" spans="11:11" ht="18.75" customHeight="1" x14ac:dyDescent="0.25">
      <c r="K312"/>
    </row>
    <row r="313" spans="11:11" ht="18.75" customHeight="1" x14ac:dyDescent="0.25">
      <c r="K313"/>
    </row>
    <row r="314" spans="11:11" ht="18.75" customHeight="1" x14ac:dyDescent="0.25">
      <c r="K314"/>
    </row>
    <row r="315" spans="11:11" ht="18.75" customHeight="1" x14ac:dyDescent="0.25">
      <c r="K315"/>
    </row>
    <row r="316" spans="11:11" ht="18.75" customHeight="1" x14ac:dyDescent="0.25">
      <c r="K316"/>
    </row>
    <row r="317" spans="11:11" ht="18.75" customHeight="1" x14ac:dyDescent="0.25">
      <c r="K317"/>
    </row>
    <row r="318" spans="11:11" ht="18.75" customHeight="1" x14ac:dyDescent="0.25">
      <c r="K318"/>
    </row>
    <row r="319" spans="11:11" ht="18.75" customHeight="1" x14ac:dyDescent="0.25">
      <c r="K319"/>
    </row>
    <row r="320" spans="11:11" ht="18.75" customHeight="1" x14ac:dyDescent="0.25">
      <c r="K320"/>
    </row>
    <row r="321" spans="11:11" ht="18.75" customHeight="1" x14ac:dyDescent="0.25">
      <c r="K321"/>
    </row>
    <row r="322" spans="11:11" ht="18.75" customHeight="1" x14ac:dyDescent="0.25">
      <c r="K322"/>
    </row>
    <row r="323" spans="11:11" ht="18.75" customHeight="1" x14ac:dyDescent="0.25">
      <c r="K323"/>
    </row>
    <row r="324" spans="11:11" ht="18.75" customHeight="1" x14ac:dyDescent="0.25">
      <c r="K324"/>
    </row>
    <row r="325" spans="11:11" ht="18.75" customHeight="1" x14ac:dyDescent="0.25">
      <c r="K325"/>
    </row>
    <row r="326" spans="11:11" ht="18.75" customHeight="1" x14ac:dyDescent="0.25">
      <c r="K326"/>
    </row>
    <row r="327" spans="11:11" ht="18.75" customHeight="1" x14ac:dyDescent="0.25">
      <c r="K327"/>
    </row>
    <row r="328" spans="11:11" ht="18.75" customHeight="1" x14ac:dyDescent="0.25">
      <c r="K328"/>
    </row>
    <row r="329" spans="11:11" ht="18.75" customHeight="1" x14ac:dyDescent="0.25">
      <c r="K329"/>
    </row>
    <row r="330" spans="11:11" ht="18.75" customHeight="1" x14ac:dyDescent="0.25">
      <c r="K330"/>
    </row>
    <row r="331" spans="11:11" ht="18.75" customHeight="1" x14ac:dyDescent="0.25">
      <c r="K331"/>
    </row>
    <row r="332" spans="11:11" ht="18.75" customHeight="1" x14ac:dyDescent="0.25">
      <c r="K332"/>
    </row>
    <row r="333" spans="11:11" ht="18.75" customHeight="1" x14ac:dyDescent="0.25">
      <c r="K333"/>
    </row>
    <row r="334" spans="11:11" ht="18.75" customHeight="1" x14ac:dyDescent="0.25">
      <c r="K334"/>
    </row>
    <row r="335" spans="11:11" ht="18.75" customHeight="1" x14ac:dyDescent="0.25">
      <c r="K335"/>
    </row>
    <row r="336" spans="11:11" ht="18.75" customHeight="1" x14ac:dyDescent="0.25">
      <c r="K336"/>
    </row>
    <row r="337" spans="11:11" ht="18.75" customHeight="1" x14ac:dyDescent="0.25">
      <c r="K337"/>
    </row>
    <row r="338" spans="11:11" ht="18.75" customHeight="1" x14ac:dyDescent="0.25">
      <c r="K338"/>
    </row>
    <row r="339" spans="11:11" ht="18.75" customHeight="1" x14ac:dyDescent="0.25">
      <c r="K339"/>
    </row>
    <row r="340" spans="11:11" ht="18.75" customHeight="1" x14ac:dyDescent="0.25">
      <c r="K340"/>
    </row>
    <row r="341" spans="11:11" ht="18.75" customHeight="1" x14ac:dyDescent="0.25">
      <c r="K341"/>
    </row>
    <row r="342" spans="11:11" ht="18.75" customHeight="1" x14ac:dyDescent="0.25">
      <c r="K342"/>
    </row>
    <row r="343" spans="11:11" ht="18.75" customHeight="1" x14ac:dyDescent="0.25">
      <c r="K343"/>
    </row>
    <row r="344" spans="11:11" ht="18.75" customHeight="1" x14ac:dyDescent="0.25">
      <c r="K344"/>
    </row>
    <row r="345" spans="11:11" ht="18.75" customHeight="1" x14ac:dyDescent="0.25">
      <c r="K345"/>
    </row>
    <row r="346" spans="11:11" ht="18.75" customHeight="1" x14ac:dyDescent="0.25">
      <c r="K346"/>
    </row>
    <row r="347" spans="11:11" ht="18.75" customHeight="1" x14ac:dyDescent="0.25">
      <c r="K347"/>
    </row>
    <row r="348" spans="11:11" ht="18.75" customHeight="1" x14ac:dyDescent="0.25">
      <c r="K348"/>
    </row>
    <row r="349" spans="11:11" ht="18.75" customHeight="1" x14ac:dyDescent="0.25">
      <c r="K349"/>
    </row>
    <row r="350" spans="11:11" ht="18.75" customHeight="1" x14ac:dyDescent="0.25">
      <c r="K350"/>
    </row>
    <row r="351" spans="11:11" ht="18.75" customHeight="1" x14ac:dyDescent="0.25">
      <c r="K351"/>
    </row>
    <row r="352" spans="11:11" ht="18.75" customHeight="1" x14ac:dyDescent="0.25">
      <c r="K352"/>
    </row>
    <row r="353" spans="11:11" ht="18.75" customHeight="1" x14ac:dyDescent="0.25">
      <c r="K353"/>
    </row>
    <row r="354" spans="11:11" ht="18.75" customHeight="1" x14ac:dyDescent="0.25">
      <c r="K354"/>
    </row>
    <row r="355" spans="11:11" ht="18.75" customHeight="1" x14ac:dyDescent="0.25">
      <c r="K355"/>
    </row>
    <row r="356" spans="11:11" ht="18.75" customHeight="1" x14ac:dyDescent="0.25">
      <c r="K356"/>
    </row>
    <row r="357" spans="11:11" ht="18.75" customHeight="1" x14ac:dyDescent="0.25">
      <c r="K357"/>
    </row>
    <row r="358" spans="11:11" ht="18.75" customHeight="1" x14ac:dyDescent="0.25">
      <c r="K358"/>
    </row>
    <row r="359" spans="11:11" ht="18.75" customHeight="1" x14ac:dyDescent="0.25">
      <c r="K359"/>
    </row>
    <row r="360" spans="11:11" ht="18.75" customHeight="1" x14ac:dyDescent="0.25">
      <c r="K360"/>
    </row>
    <row r="361" spans="11:11" ht="18.75" customHeight="1" x14ac:dyDescent="0.25">
      <c r="K361"/>
    </row>
    <row r="362" spans="11:11" ht="18.75" customHeight="1" x14ac:dyDescent="0.25">
      <c r="K362"/>
    </row>
    <row r="363" spans="11:11" ht="18.75" customHeight="1" x14ac:dyDescent="0.25">
      <c r="K363"/>
    </row>
    <row r="364" spans="11:11" ht="18.75" customHeight="1" x14ac:dyDescent="0.25">
      <c r="K364"/>
    </row>
    <row r="365" spans="11:11" ht="18.75" customHeight="1" x14ac:dyDescent="0.25">
      <c r="K365"/>
    </row>
    <row r="366" spans="11:11" ht="18.75" customHeight="1" x14ac:dyDescent="0.25">
      <c r="K366"/>
    </row>
    <row r="367" spans="11:11" ht="18.75" customHeight="1" x14ac:dyDescent="0.25">
      <c r="K367"/>
    </row>
    <row r="368" spans="11:11" ht="18.75" customHeight="1" x14ac:dyDescent="0.25">
      <c r="K368"/>
    </row>
    <row r="369" spans="11:11" ht="18.75" customHeight="1" x14ac:dyDescent="0.25">
      <c r="K369"/>
    </row>
    <row r="370" spans="11:11" ht="18.75" customHeight="1" x14ac:dyDescent="0.25">
      <c r="K370"/>
    </row>
    <row r="371" spans="11:11" ht="18.75" customHeight="1" x14ac:dyDescent="0.25">
      <c r="K371"/>
    </row>
    <row r="372" spans="11:11" ht="18.75" customHeight="1" x14ac:dyDescent="0.25">
      <c r="K372"/>
    </row>
    <row r="373" spans="11:11" ht="18.75" customHeight="1" x14ac:dyDescent="0.25">
      <c r="K373"/>
    </row>
    <row r="374" spans="11:11" ht="18.75" customHeight="1" x14ac:dyDescent="0.25">
      <c r="K374"/>
    </row>
    <row r="375" spans="11:11" ht="18.75" customHeight="1" x14ac:dyDescent="0.25">
      <c r="K375"/>
    </row>
    <row r="376" spans="11:11" ht="18.75" customHeight="1" x14ac:dyDescent="0.25">
      <c r="K376"/>
    </row>
    <row r="377" spans="11:11" ht="18.75" customHeight="1" x14ac:dyDescent="0.25">
      <c r="K377"/>
    </row>
    <row r="378" spans="11:11" ht="18.75" customHeight="1" x14ac:dyDescent="0.25">
      <c r="K378"/>
    </row>
    <row r="379" spans="11:11" ht="18.75" customHeight="1" x14ac:dyDescent="0.25">
      <c r="K379"/>
    </row>
    <row r="380" spans="11:11" ht="18.75" customHeight="1" x14ac:dyDescent="0.25">
      <c r="K380"/>
    </row>
    <row r="381" spans="11:11" ht="18.75" customHeight="1" x14ac:dyDescent="0.25">
      <c r="K381"/>
    </row>
    <row r="382" spans="11:11" ht="18.75" customHeight="1" x14ac:dyDescent="0.25">
      <c r="K382"/>
    </row>
    <row r="383" spans="11:11" ht="18.75" customHeight="1" x14ac:dyDescent="0.25">
      <c r="K383"/>
    </row>
    <row r="384" spans="11:11" ht="18.75" customHeight="1" x14ac:dyDescent="0.25">
      <c r="K384"/>
    </row>
    <row r="385" spans="11:11" ht="18.75" customHeight="1" x14ac:dyDescent="0.25">
      <c r="K385"/>
    </row>
    <row r="386" spans="11:11" ht="18.75" customHeight="1" x14ac:dyDescent="0.25">
      <c r="K386"/>
    </row>
    <row r="387" spans="11:11" ht="18.75" customHeight="1" x14ac:dyDescent="0.25">
      <c r="K387"/>
    </row>
    <row r="388" spans="11:11" ht="18.75" customHeight="1" x14ac:dyDescent="0.25">
      <c r="K388"/>
    </row>
    <row r="389" spans="11:11" ht="18.75" customHeight="1" x14ac:dyDescent="0.25">
      <c r="K389"/>
    </row>
    <row r="390" spans="11:11" ht="18.75" customHeight="1" x14ac:dyDescent="0.25">
      <c r="K390"/>
    </row>
    <row r="391" spans="11:11" ht="18.75" customHeight="1" x14ac:dyDescent="0.25">
      <c r="K391"/>
    </row>
    <row r="392" spans="11:11" ht="18.75" customHeight="1" x14ac:dyDescent="0.25">
      <c r="K392"/>
    </row>
    <row r="393" spans="11:11" ht="18.75" customHeight="1" x14ac:dyDescent="0.25">
      <c r="K393"/>
    </row>
    <row r="394" spans="11:11" ht="18.75" customHeight="1" x14ac:dyDescent="0.25">
      <c r="K394"/>
    </row>
    <row r="395" spans="11:11" ht="18.75" customHeight="1" x14ac:dyDescent="0.25">
      <c r="K395"/>
    </row>
    <row r="396" spans="11:11" ht="18.75" customHeight="1" x14ac:dyDescent="0.25">
      <c r="K396"/>
    </row>
    <row r="397" spans="11:11" ht="18.75" customHeight="1" x14ac:dyDescent="0.25">
      <c r="K397"/>
    </row>
    <row r="398" spans="11:11" ht="18.75" customHeight="1" x14ac:dyDescent="0.25">
      <c r="K398"/>
    </row>
    <row r="399" spans="11:11" ht="18.75" customHeight="1" x14ac:dyDescent="0.25">
      <c r="K399"/>
    </row>
    <row r="400" spans="11:11" ht="18.75" customHeight="1" x14ac:dyDescent="0.25">
      <c r="K400"/>
    </row>
    <row r="401" spans="11:11" ht="18.75" customHeight="1" x14ac:dyDescent="0.25">
      <c r="K401"/>
    </row>
    <row r="402" spans="11:11" ht="18.75" customHeight="1" x14ac:dyDescent="0.25">
      <c r="K402"/>
    </row>
    <row r="403" spans="11:11" ht="18.75" customHeight="1" x14ac:dyDescent="0.25">
      <c r="K403"/>
    </row>
    <row r="404" spans="11:11" ht="18.75" customHeight="1" x14ac:dyDescent="0.25">
      <c r="K404"/>
    </row>
    <row r="405" spans="11:11" ht="18.75" customHeight="1" x14ac:dyDescent="0.25">
      <c r="K405"/>
    </row>
    <row r="406" spans="11:11" ht="18.75" customHeight="1" x14ac:dyDescent="0.25">
      <c r="K406"/>
    </row>
    <row r="407" spans="11:11" ht="18.75" customHeight="1" x14ac:dyDescent="0.25">
      <c r="K407"/>
    </row>
    <row r="408" spans="11:11" ht="18.75" customHeight="1" x14ac:dyDescent="0.25">
      <c r="K408"/>
    </row>
    <row r="409" spans="11:11" ht="18.75" customHeight="1" x14ac:dyDescent="0.25">
      <c r="K409"/>
    </row>
    <row r="410" spans="11:11" ht="18.75" customHeight="1" x14ac:dyDescent="0.25">
      <c r="K410"/>
    </row>
    <row r="411" spans="11:11" ht="18.75" customHeight="1" x14ac:dyDescent="0.25">
      <c r="K411"/>
    </row>
    <row r="412" spans="11:11" ht="18.75" customHeight="1" x14ac:dyDescent="0.25">
      <c r="K412"/>
    </row>
    <row r="413" spans="11:11" ht="18.75" customHeight="1" x14ac:dyDescent="0.25">
      <c r="K413"/>
    </row>
    <row r="414" spans="11:11" ht="18.75" customHeight="1" x14ac:dyDescent="0.25">
      <c r="K414"/>
    </row>
    <row r="415" spans="11:11" ht="18.75" customHeight="1" x14ac:dyDescent="0.25">
      <c r="K415"/>
    </row>
    <row r="416" spans="11:11" ht="18.75" customHeight="1" x14ac:dyDescent="0.25">
      <c r="K416"/>
    </row>
    <row r="417" spans="11:11" ht="18.75" customHeight="1" x14ac:dyDescent="0.25">
      <c r="K417"/>
    </row>
    <row r="418" spans="11:11" ht="18.75" customHeight="1" x14ac:dyDescent="0.25">
      <c r="K418"/>
    </row>
    <row r="419" spans="11:11" ht="18.75" customHeight="1" x14ac:dyDescent="0.25">
      <c r="K419"/>
    </row>
    <row r="420" spans="11:11" ht="18.75" customHeight="1" x14ac:dyDescent="0.25">
      <c r="K420"/>
    </row>
    <row r="421" spans="11:11" ht="18.75" customHeight="1" x14ac:dyDescent="0.25">
      <c r="K421"/>
    </row>
    <row r="422" spans="11:11" ht="18.75" customHeight="1" x14ac:dyDescent="0.25">
      <c r="K422"/>
    </row>
    <row r="423" spans="11:11" ht="18.75" customHeight="1" x14ac:dyDescent="0.25">
      <c r="K423"/>
    </row>
    <row r="424" spans="11:11" ht="18.75" customHeight="1" x14ac:dyDescent="0.25">
      <c r="K424"/>
    </row>
    <row r="425" spans="11:11" ht="18.75" customHeight="1" x14ac:dyDescent="0.25">
      <c r="K425"/>
    </row>
    <row r="426" spans="11:11" ht="18.75" customHeight="1" x14ac:dyDescent="0.25">
      <c r="K426"/>
    </row>
    <row r="427" spans="11:11" ht="18.75" customHeight="1" x14ac:dyDescent="0.25">
      <c r="K427"/>
    </row>
    <row r="428" spans="11:11" ht="18.75" customHeight="1" x14ac:dyDescent="0.25">
      <c r="K428"/>
    </row>
    <row r="429" spans="11:11" ht="18.75" customHeight="1" x14ac:dyDescent="0.25">
      <c r="K429"/>
    </row>
    <row r="430" spans="11:11" ht="18.75" customHeight="1" x14ac:dyDescent="0.25">
      <c r="K430"/>
    </row>
    <row r="431" spans="11:11" ht="18.75" customHeight="1" x14ac:dyDescent="0.25">
      <c r="K431"/>
    </row>
    <row r="432" spans="11:11" ht="18.75" customHeight="1" x14ac:dyDescent="0.25">
      <c r="K432"/>
    </row>
    <row r="433" spans="11:11" ht="18.75" customHeight="1" x14ac:dyDescent="0.25">
      <c r="K433"/>
    </row>
    <row r="434" spans="11:11" ht="18.75" customHeight="1" x14ac:dyDescent="0.25">
      <c r="K434"/>
    </row>
    <row r="435" spans="11:11" ht="18.75" customHeight="1" x14ac:dyDescent="0.25">
      <c r="K435"/>
    </row>
    <row r="436" spans="11:11" ht="18.75" customHeight="1" x14ac:dyDescent="0.25">
      <c r="K436"/>
    </row>
    <row r="437" spans="11:11" ht="18.75" customHeight="1" x14ac:dyDescent="0.25">
      <c r="K437"/>
    </row>
    <row r="438" spans="11:11" ht="18.75" customHeight="1" x14ac:dyDescent="0.25">
      <c r="K438"/>
    </row>
    <row r="439" spans="11:11" ht="18.75" customHeight="1" x14ac:dyDescent="0.25">
      <c r="K439"/>
    </row>
    <row r="440" spans="11:11" ht="18.75" customHeight="1" x14ac:dyDescent="0.25">
      <c r="K440"/>
    </row>
    <row r="441" spans="11:11" ht="18.75" customHeight="1" x14ac:dyDescent="0.25">
      <c r="K441"/>
    </row>
    <row r="442" spans="11:11" ht="18.75" customHeight="1" x14ac:dyDescent="0.25">
      <c r="K442"/>
    </row>
    <row r="443" spans="11:11" ht="18.75" customHeight="1" x14ac:dyDescent="0.25">
      <c r="K443"/>
    </row>
    <row r="444" spans="11:11" ht="18.75" customHeight="1" x14ac:dyDescent="0.25">
      <c r="K444"/>
    </row>
    <row r="445" spans="11:11" ht="18.75" customHeight="1" x14ac:dyDescent="0.25">
      <c r="K445"/>
    </row>
    <row r="446" spans="11:11" ht="18.75" customHeight="1" x14ac:dyDescent="0.25">
      <c r="K446"/>
    </row>
    <row r="447" spans="11:11" ht="18.75" customHeight="1" x14ac:dyDescent="0.25">
      <c r="K447"/>
    </row>
    <row r="448" spans="11:11" ht="18.75" customHeight="1" x14ac:dyDescent="0.25">
      <c r="K448"/>
    </row>
    <row r="449" spans="11:11" ht="18.75" customHeight="1" x14ac:dyDescent="0.25">
      <c r="K449"/>
    </row>
    <row r="450" spans="11:11" ht="18.75" customHeight="1" x14ac:dyDescent="0.25">
      <c r="K450"/>
    </row>
    <row r="451" spans="11:11" ht="18.75" customHeight="1" x14ac:dyDescent="0.25">
      <c r="K451"/>
    </row>
    <row r="452" spans="11:11" ht="18.75" customHeight="1" x14ac:dyDescent="0.25">
      <c r="K452"/>
    </row>
    <row r="453" spans="11:11" ht="18.75" customHeight="1" x14ac:dyDescent="0.25">
      <c r="K453"/>
    </row>
    <row r="454" spans="11:11" ht="18.75" customHeight="1" x14ac:dyDescent="0.25">
      <c r="K454"/>
    </row>
    <row r="455" spans="11:11" ht="18.75" customHeight="1" x14ac:dyDescent="0.25">
      <c r="K455"/>
    </row>
    <row r="456" spans="11:11" ht="18.75" customHeight="1" x14ac:dyDescent="0.25">
      <c r="K456"/>
    </row>
    <row r="457" spans="11:11" ht="18.75" customHeight="1" x14ac:dyDescent="0.25">
      <c r="K457"/>
    </row>
    <row r="458" spans="11:11" ht="18.75" customHeight="1" x14ac:dyDescent="0.25">
      <c r="K458"/>
    </row>
    <row r="459" spans="11:11" ht="18.75" customHeight="1" x14ac:dyDescent="0.25">
      <c r="K459"/>
    </row>
    <row r="460" spans="11:11" ht="18.75" customHeight="1" x14ac:dyDescent="0.25">
      <c r="K460"/>
    </row>
    <row r="461" spans="11:11" ht="18.75" customHeight="1" x14ac:dyDescent="0.25">
      <c r="K461"/>
    </row>
    <row r="462" spans="11:11" ht="18.75" customHeight="1" x14ac:dyDescent="0.25">
      <c r="K462"/>
    </row>
    <row r="463" spans="11:11" ht="18.75" customHeight="1" x14ac:dyDescent="0.25">
      <c r="K463"/>
    </row>
    <row r="464" spans="11:11" ht="18.75" customHeight="1" x14ac:dyDescent="0.25">
      <c r="K464"/>
    </row>
    <row r="465" spans="11:11" ht="18.75" customHeight="1" x14ac:dyDescent="0.25">
      <c r="K465"/>
    </row>
    <row r="466" spans="11:11" ht="18.75" customHeight="1" x14ac:dyDescent="0.25">
      <c r="K466"/>
    </row>
    <row r="467" spans="11:11" ht="18.75" customHeight="1" x14ac:dyDescent="0.25">
      <c r="K467"/>
    </row>
    <row r="468" spans="11:11" ht="18.75" customHeight="1" x14ac:dyDescent="0.25">
      <c r="K468"/>
    </row>
    <row r="469" spans="11:11" ht="18.75" customHeight="1" x14ac:dyDescent="0.25">
      <c r="K469"/>
    </row>
    <row r="470" spans="11:11" ht="18.75" customHeight="1" x14ac:dyDescent="0.25">
      <c r="K470"/>
    </row>
    <row r="471" spans="11:11" ht="18.75" customHeight="1" x14ac:dyDescent="0.25">
      <c r="K471"/>
    </row>
    <row r="472" spans="11:11" ht="18.75" customHeight="1" x14ac:dyDescent="0.25">
      <c r="K472"/>
    </row>
    <row r="473" spans="11:11" ht="18.75" customHeight="1" x14ac:dyDescent="0.25">
      <c r="K473"/>
    </row>
    <row r="474" spans="11:11" ht="18.75" customHeight="1" x14ac:dyDescent="0.25">
      <c r="K474"/>
    </row>
    <row r="475" spans="11:11" ht="18.75" customHeight="1" x14ac:dyDescent="0.25">
      <c r="K475"/>
    </row>
    <row r="476" spans="11:11" ht="18.75" customHeight="1" x14ac:dyDescent="0.25">
      <c r="K476"/>
    </row>
    <row r="477" spans="11:11" ht="18.75" customHeight="1" x14ac:dyDescent="0.25">
      <c r="K477"/>
    </row>
    <row r="478" spans="11:11" ht="18.75" customHeight="1" x14ac:dyDescent="0.25">
      <c r="K478"/>
    </row>
    <row r="479" spans="11:11" ht="18.75" customHeight="1" x14ac:dyDescent="0.25">
      <c r="K479"/>
    </row>
    <row r="480" spans="11:11" ht="18.75" customHeight="1" x14ac:dyDescent="0.25">
      <c r="K480"/>
    </row>
    <row r="481" spans="11:11" ht="18.75" customHeight="1" x14ac:dyDescent="0.25">
      <c r="K481"/>
    </row>
    <row r="482" spans="11:11" ht="18.75" customHeight="1" x14ac:dyDescent="0.25">
      <c r="K482"/>
    </row>
    <row r="483" spans="11:11" ht="18.75" customHeight="1" x14ac:dyDescent="0.25">
      <c r="K483"/>
    </row>
    <row r="484" spans="11:11" ht="18.75" customHeight="1" x14ac:dyDescent="0.25">
      <c r="K484"/>
    </row>
    <row r="485" spans="11:11" ht="18.75" customHeight="1" x14ac:dyDescent="0.25">
      <c r="K485"/>
    </row>
    <row r="486" spans="11:11" ht="18.75" customHeight="1" x14ac:dyDescent="0.25">
      <c r="K486"/>
    </row>
    <row r="487" spans="11:11" ht="18.75" customHeight="1" x14ac:dyDescent="0.25">
      <c r="K487"/>
    </row>
    <row r="488" spans="11:11" ht="18.75" customHeight="1" x14ac:dyDescent="0.25">
      <c r="K488"/>
    </row>
    <row r="489" spans="11:11" ht="18.75" customHeight="1" x14ac:dyDescent="0.25">
      <c r="K489"/>
    </row>
    <row r="490" spans="11:11" ht="18.75" customHeight="1" x14ac:dyDescent="0.25">
      <c r="K490"/>
    </row>
    <row r="491" spans="11:11" ht="18.75" customHeight="1" x14ac:dyDescent="0.25">
      <c r="K491"/>
    </row>
    <row r="492" spans="11:11" ht="18.75" customHeight="1" x14ac:dyDescent="0.25">
      <c r="K492"/>
    </row>
    <row r="493" spans="11:11" ht="18.75" customHeight="1" x14ac:dyDescent="0.25">
      <c r="K493"/>
    </row>
    <row r="494" spans="11:11" ht="18.75" customHeight="1" x14ac:dyDescent="0.25">
      <c r="K494"/>
    </row>
    <row r="495" spans="11:11" ht="18.75" customHeight="1" x14ac:dyDescent="0.25">
      <c r="K495"/>
    </row>
    <row r="496" spans="11:11" ht="18.75" customHeight="1" x14ac:dyDescent="0.25">
      <c r="K496"/>
    </row>
    <row r="497" spans="11:11" ht="18.75" customHeight="1" x14ac:dyDescent="0.25">
      <c r="K497"/>
    </row>
    <row r="498" spans="11:11" ht="18.75" customHeight="1" x14ac:dyDescent="0.25">
      <c r="K498"/>
    </row>
    <row r="499" spans="11:11" ht="18.75" customHeight="1" x14ac:dyDescent="0.25">
      <c r="K499"/>
    </row>
    <row r="500" spans="11:11" ht="18.75" customHeight="1" x14ac:dyDescent="0.25">
      <c r="K500"/>
    </row>
    <row r="501" spans="11:11" ht="18.75" customHeight="1" x14ac:dyDescent="0.25">
      <c r="K501"/>
    </row>
    <row r="502" spans="11:11" ht="18.75" customHeight="1" x14ac:dyDescent="0.25">
      <c r="K502"/>
    </row>
    <row r="503" spans="11:11" ht="18.75" customHeight="1" x14ac:dyDescent="0.25">
      <c r="K503"/>
    </row>
    <row r="504" spans="11:11" ht="18.75" customHeight="1" x14ac:dyDescent="0.25">
      <c r="K504"/>
    </row>
    <row r="505" spans="11:11" ht="18.75" customHeight="1" x14ac:dyDescent="0.25">
      <c r="K505"/>
    </row>
    <row r="506" spans="11:11" ht="18.75" customHeight="1" x14ac:dyDescent="0.25">
      <c r="K506"/>
    </row>
    <row r="507" spans="11:11" ht="18.75" customHeight="1" x14ac:dyDescent="0.25">
      <c r="K507"/>
    </row>
    <row r="508" spans="11:11" ht="18.75" customHeight="1" x14ac:dyDescent="0.25">
      <c r="K508"/>
    </row>
    <row r="509" spans="11:11" ht="18.75" customHeight="1" x14ac:dyDescent="0.25">
      <c r="K509"/>
    </row>
    <row r="510" spans="11:11" ht="18.75" customHeight="1" x14ac:dyDescent="0.25">
      <c r="K510"/>
    </row>
    <row r="511" spans="11:11" ht="18.75" customHeight="1" x14ac:dyDescent="0.25">
      <c r="K511"/>
    </row>
    <row r="512" spans="11:11" ht="18.75" customHeight="1" x14ac:dyDescent="0.25">
      <c r="K512"/>
    </row>
    <row r="513" spans="11:11" ht="18.75" customHeight="1" x14ac:dyDescent="0.25">
      <c r="K513"/>
    </row>
    <row r="514" spans="11:11" ht="18.75" customHeight="1" x14ac:dyDescent="0.25">
      <c r="K514"/>
    </row>
    <row r="515" spans="11:11" ht="18.75" customHeight="1" x14ac:dyDescent="0.25">
      <c r="K515"/>
    </row>
    <row r="516" spans="11:11" ht="18.75" customHeight="1" x14ac:dyDescent="0.25">
      <c r="K516"/>
    </row>
    <row r="517" spans="11:11" ht="18.75" customHeight="1" x14ac:dyDescent="0.25">
      <c r="K517"/>
    </row>
    <row r="518" spans="11:11" ht="18.75" customHeight="1" x14ac:dyDescent="0.25">
      <c r="K518"/>
    </row>
    <row r="519" spans="11:11" ht="18.75" customHeight="1" x14ac:dyDescent="0.25">
      <c r="K519"/>
    </row>
    <row r="520" spans="11:11" ht="18.75" customHeight="1" x14ac:dyDescent="0.25">
      <c r="K520"/>
    </row>
    <row r="521" spans="11:11" ht="18.75" customHeight="1" x14ac:dyDescent="0.25">
      <c r="K521"/>
    </row>
    <row r="522" spans="11:11" ht="18.75" customHeight="1" x14ac:dyDescent="0.25">
      <c r="K522"/>
    </row>
    <row r="523" spans="11:11" ht="18.75" customHeight="1" x14ac:dyDescent="0.25">
      <c r="K523"/>
    </row>
    <row r="524" spans="11:11" ht="18.75" customHeight="1" x14ac:dyDescent="0.25">
      <c r="K524"/>
    </row>
    <row r="525" spans="11:11" ht="18.75" customHeight="1" x14ac:dyDescent="0.25">
      <c r="K525"/>
    </row>
    <row r="526" spans="11:11" ht="18.75" customHeight="1" x14ac:dyDescent="0.25">
      <c r="K526"/>
    </row>
    <row r="527" spans="11:11" ht="18.75" customHeight="1" x14ac:dyDescent="0.25">
      <c r="K527"/>
    </row>
    <row r="528" spans="11:11" ht="18.75" customHeight="1" x14ac:dyDescent="0.25">
      <c r="K528"/>
    </row>
    <row r="529" spans="11:11" ht="18.75" customHeight="1" x14ac:dyDescent="0.25">
      <c r="K529"/>
    </row>
    <row r="530" spans="11:11" ht="18.75" customHeight="1" x14ac:dyDescent="0.25">
      <c r="K530"/>
    </row>
    <row r="531" spans="11:11" ht="18.75" customHeight="1" x14ac:dyDescent="0.25">
      <c r="K531"/>
    </row>
    <row r="532" spans="11:11" ht="18.75" customHeight="1" x14ac:dyDescent="0.25">
      <c r="K532"/>
    </row>
    <row r="533" spans="11:11" ht="18.75" customHeight="1" x14ac:dyDescent="0.25">
      <c r="K533"/>
    </row>
    <row r="534" spans="11:11" ht="18.75" customHeight="1" x14ac:dyDescent="0.25">
      <c r="K534"/>
    </row>
    <row r="535" spans="11:11" ht="18.75" customHeight="1" x14ac:dyDescent="0.25">
      <c r="K535"/>
    </row>
    <row r="536" spans="11:11" ht="18.75" customHeight="1" x14ac:dyDescent="0.25">
      <c r="K536"/>
    </row>
    <row r="537" spans="11:11" ht="18.75" customHeight="1" x14ac:dyDescent="0.25">
      <c r="K537"/>
    </row>
    <row r="538" spans="11:11" ht="18.75" customHeight="1" x14ac:dyDescent="0.25">
      <c r="K538"/>
    </row>
    <row r="539" spans="11:11" ht="18.75" customHeight="1" x14ac:dyDescent="0.25">
      <c r="K539"/>
    </row>
    <row r="540" spans="11:11" ht="18.75" customHeight="1" x14ac:dyDescent="0.25">
      <c r="K540"/>
    </row>
    <row r="541" spans="11:11" ht="18.75" customHeight="1" x14ac:dyDescent="0.25">
      <c r="K541"/>
    </row>
    <row r="542" spans="11:11" ht="18.75" customHeight="1" x14ac:dyDescent="0.25">
      <c r="K542"/>
    </row>
    <row r="543" spans="11:11" ht="18.75" customHeight="1" x14ac:dyDescent="0.25">
      <c r="K543"/>
    </row>
    <row r="544" spans="11:11" ht="18.75" customHeight="1" x14ac:dyDescent="0.25">
      <c r="K544"/>
    </row>
    <row r="545" spans="11:11" ht="18.75" customHeight="1" x14ac:dyDescent="0.25">
      <c r="K545"/>
    </row>
    <row r="546" spans="11:11" ht="18.75" customHeight="1" x14ac:dyDescent="0.25">
      <c r="K546"/>
    </row>
    <row r="547" spans="11:11" ht="18.75" customHeight="1" x14ac:dyDescent="0.25">
      <c r="K547"/>
    </row>
    <row r="548" spans="11:11" ht="18.75" customHeight="1" x14ac:dyDescent="0.25">
      <c r="K548"/>
    </row>
    <row r="549" spans="11:11" ht="18.75" customHeight="1" x14ac:dyDescent="0.25">
      <c r="K549"/>
    </row>
    <row r="550" spans="11:11" ht="18.75" customHeight="1" x14ac:dyDescent="0.25">
      <c r="K550"/>
    </row>
    <row r="551" spans="11:11" ht="18.75" customHeight="1" x14ac:dyDescent="0.25">
      <c r="K551"/>
    </row>
    <row r="552" spans="11:11" ht="18.75" customHeight="1" x14ac:dyDescent="0.25">
      <c r="K552"/>
    </row>
    <row r="553" spans="11:11" ht="18.75" customHeight="1" x14ac:dyDescent="0.25">
      <c r="K553"/>
    </row>
    <row r="554" spans="11:11" ht="18.75" customHeight="1" x14ac:dyDescent="0.25">
      <c r="K554"/>
    </row>
    <row r="555" spans="11:11" ht="18.75" customHeight="1" x14ac:dyDescent="0.25">
      <c r="K555"/>
    </row>
    <row r="556" spans="11:11" ht="18.75" customHeight="1" x14ac:dyDescent="0.25">
      <c r="K556"/>
    </row>
    <row r="557" spans="11:11" ht="18.75" customHeight="1" x14ac:dyDescent="0.25">
      <c r="K557"/>
    </row>
    <row r="558" spans="11:11" ht="18.75" customHeight="1" x14ac:dyDescent="0.25">
      <c r="K558"/>
    </row>
    <row r="559" spans="11:11" ht="18.75" customHeight="1" x14ac:dyDescent="0.25">
      <c r="K559"/>
    </row>
    <row r="560" spans="11:11" ht="18.75" customHeight="1" x14ac:dyDescent="0.25">
      <c r="K560"/>
    </row>
    <row r="561" spans="11:11" ht="18.75" customHeight="1" x14ac:dyDescent="0.25">
      <c r="K561"/>
    </row>
    <row r="562" spans="11:11" ht="18.75" customHeight="1" x14ac:dyDescent="0.25">
      <c r="K562"/>
    </row>
    <row r="563" spans="11:11" ht="18.75" customHeight="1" x14ac:dyDescent="0.25">
      <c r="K563"/>
    </row>
    <row r="564" spans="11:11" ht="18.75" customHeight="1" x14ac:dyDescent="0.25">
      <c r="K564"/>
    </row>
    <row r="565" spans="11:11" ht="18.75" customHeight="1" x14ac:dyDescent="0.25">
      <c r="K565"/>
    </row>
    <row r="566" spans="11:11" ht="18.75" customHeight="1" x14ac:dyDescent="0.25">
      <c r="K566"/>
    </row>
    <row r="567" spans="11:11" ht="18.75" customHeight="1" x14ac:dyDescent="0.25">
      <c r="K567"/>
    </row>
    <row r="568" spans="11:11" ht="18.75" customHeight="1" x14ac:dyDescent="0.25">
      <c r="K568"/>
    </row>
    <row r="569" spans="11:11" ht="18.75" customHeight="1" x14ac:dyDescent="0.25">
      <c r="K569"/>
    </row>
    <row r="570" spans="11:11" ht="18.75" customHeight="1" x14ac:dyDescent="0.25">
      <c r="K570"/>
    </row>
    <row r="571" spans="11:11" ht="18.75" customHeight="1" x14ac:dyDescent="0.25">
      <c r="K571"/>
    </row>
    <row r="572" spans="11:11" ht="18.75" customHeight="1" x14ac:dyDescent="0.25">
      <c r="K572"/>
    </row>
    <row r="573" spans="11:11" ht="18.75" customHeight="1" x14ac:dyDescent="0.25">
      <c r="K573"/>
    </row>
    <row r="574" spans="11:11" ht="18.75" customHeight="1" x14ac:dyDescent="0.25">
      <c r="K574"/>
    </row>
    <row r="575" spans="11:11" ht="18.75" customHeight="1" x14ac:dyDescent="0.25">
      <c r="K575"/>
    </row>
    <row r="576" spans="11:11" ht="18.75" customHeight="1" x14ac:dyDescent="0.25">
      <c r="K576"/>
    </row>
    <row r="577" spans="11:11" ht="18.75" customHeight="1" x14ac:dyDescent="0.25">
      <c r="K577"/>
    </row>
    <row r="578" spans="11:11" ht="18.75" customHeight="1" x14ac:dyDescent="0.25">
      <c r="K578"/>
    </row>
    <row r="579" spans="11:11" ht="18.75" customHeight="1" x14ac:dyDescent="0.25">
      <c r="K579"/>
    </row>
    <row r="580" spans="11:11" ht="18.75" customHeight="1" x14ac:dyDescent="0.25">
      <c r="K580"/>
    </row>
    <row r="581" spans="11:11" ht="18.75" customHeight="1" x14ac:dyDescent="0.25">
      <c r="K581"/>
    </row>
    <row r="582" spans="11:11" ht="18.75" customHeight="1" x14ac:dyDescent="0.25">
      <c r="K582"/>
    </row>
    <row r="583" spans="11:11" ht="18.75" customHeight="1" x14ac:dyDescent="0.25">
      <c r="K583"/>
    </row>
    <row r="584" spans="11:11" ht="18.75" customHeight="1" x14ac:dyDescent="0.25">
      <c r="K584"/>
    </row>
    <row r="585" spans="11:11" ht="18.75" customHeight="1" x14ac:dyDescent="0.25">
      <c r="K585"/>
    </row>
    <row r="586" spans="11:11" ht="18.75" customHeight="1" x14ac:dyDescent="0.25">
      <c r="K586"/>
    </row>
    <row r="587" spans="11:11" ht="18.75" customHeight="1" x14ac:dyDescent="0.25">
      <c r="K587"/>
    </row>
    <row r="588" spans="11:11" ht="18.75" customHeight="1" x14ac:dyDescent="0.25">
      <c r="K588"/>
    </row>
    <row r="589" spans="11:11" ht="18.75" customHeight="1" x14ac:dyDescent="0.25">
      <c r="K589"/>
    </row>
    <row r="590" spans="11:11" ht="18.75" customHeight="1" x14ac:dyDescent="0.25">
      <c r="K590"/>
    </row>
    <row r="591" spans="11:11" ht="18.75" customHeight="1" x14ac:dyDescent="0.25">
      <c r="K591"/>
    </row>
    <row r="592" spans="11:11" ht="18.75" customHeight="1" x14ac:dyDescent="0.25">
      <c r="K592"/>
    </row>
    <row r="593" spans="11:11" ht="18.75" customHeight="1" x14ac:dyDescent="0.25">
      <c r="K593"/>
    </row>
    <row r="594" spans="11:11" ht="18.75" customHeight="1" x14ac:dyDescent="0.25">
      <c r="K594"/>
    </row>
    <row r="595" spans="11:11" ht="18.75" customHeight="1" x14ac:dyDescent="0.25">
      <c r="K595"/>
    </row>
    <row r="596" spans="11:11" ht="18.75" customHeight="1" x14ac:dyDescent="0.25">
      <c r="K596"/>
    </row>
    <row r="597" spans="11:11" ht="18.75" customHeight="1" x14ac:dyDescent="0.25">
      <c r="K597"/>
    </row>
    <row r="598" spans="11:11" ht="18.75" customHeight="1" x14ac:dyDescent="0.25">
      <c r="K598"/>
    </row>
    <row r="599" spans="11:11" ht="18.75" customHeight="1" x14ac:dyDescent="0.25">
      <c r="K599"/>
    </row>
    <row r="600" spans="11:11" ht="18.75" customHeight="1" x14ac:dyDescent="0.25">
      <c r="K600"/>
    </row>
    <row r="601" spans="11:11" ht="18.75" customHeight="1" x14ac:dyDescent="0.25">
      <c r="K601"/>
    </row>
    <row r="602" spans="11:11" ht="18.75" customHeight="1" x14ac:dyDescent="0.25">
      <c r="K602"/>
    </row>
    <row r="603" spans="11:11" ht="18.75" customHeight="1" x14ac:dyDescent="0.25">
      <c r="K603"/>
    </row>
    <row r="604" spans="11:11" ht="18.75" customHeight="1" x14ac:dyDescent="0.25">
      <c r="K604"/>
    </row>
    <row r="605" spans="11:11" ht="18.75" customHeight="1" x14ac:dyDescent="0.25">
      <c r="K605"/>
    </row>
    <row r="606" spans="11:11" ht="18.75" customHeight="1" x14ac:dyDescent="0.25">
      <c r="K606"/>
    </row>
    <row r="607" spans="11:11" ht="18.75" customHeight="1" x14ac:dyDescent="0.25">
      <c r="K607"/>
    </row>
    <row r="608" spans="11:11" ht="18.75" customHeight="1" x14ac:dyDescent="0.25">
      <c r="K608"/>
    </row>
    <row r="609" spans="11:11" ht="18.75" customHeight="1" x14ac:dyDescent="0.25">
      <c r="K609"/>
    </row>
    <row r="610" spans="11:11" ht="18.75" customHeight="1" x14ac:dyDescent="0.25">
      <c r="K610"/>
    </row>
    <row r="611" spans="11:11" ht="18.75" customHeight="1" x14ac:dyDescent="0.25">
      <c r="K611"/>
    </row>
    <row r="612" spans="11:11" ht="18.75" customHeight="1" x14ac:dyDescent="0.25">
      <c r="K612"/>
    </row>
    <row r="613" spans="11:11" ht="18.75" customHeight="1" x14ac:dyDescent="0.25">
      <c r="K613"/>
    </row>
    <row r="614" spans="11:11" ht="18.75" customHeight="1" x14ac:dyDescent="0.25">
      <c r="K614"/>
    </row>
    <row r="615" spans="11:11" ht="18.75" customHeight="1" x14ac:dyDescent="0.25">
      <c r="K615"/>
    </row>
    <row r="616" spans="11:11" ht="18.75" customHeight="1" x14ac:dyDescent="0.25">
      <c r="K616"/>
    </row>
    <row r="617" spans="11:11" ht="18.75" customHeight="1" x14ac:dyDescent="0.25">
      <c r="K617"/>
    </row>
    <row r="618" spans="11:11" ht="18.75" customHeight="1" x14ac:dyDescent="0.25">
      <c r="K618"/>
    </row>
    <row r="619" spans="11:11" ht="18.75" customHeight="1" x14ac:dyDescent="0.25">
      <c r="K619"/>
    </row>
    <row r="620" spans="11:11" ht="18.75" customHeight="1" x14ac:dyDescent="0.25">
      <c r="K620"/>
    </row>
    <row r="621" spans="11:11" ht="18.75" customHeight="1" x14ac:dyDescent="0.25">
      <c r="K621"/>
    </row>
    <row r="622" spans="11:11" ht="18.75" customHeight="1" x14ac:dyDescent="0.25">
      <c r="K622"/>
    </row>
    <row r="623" spans="11:11" ht="18.75" customHeight="1" x14ac:dyDescent="0.25">
      <c r="K623"/>
    </row>
    <row r="624" spans="11:11" ht="18.75" customHeight="1" x14ac:dyDescent="0.25">
      <c r="K624"/>
    </row>
    <row r="625" spans="11:11" ht="18.75" customHeight="1" x14ac:dyDescent="0.25">
      <c r="K625"/>
    </row>
    <row r="626" spans="11:11" ht="18.75" customHeight="1" x14ac:dyDescent="0.25">
      <c r="K626"/>
    </row>
    <row r="627" spans="11:11" ht="18.75" customHeight="1" x14ac:dyDescent="0.25">
      <c r="K627"/>
    </row>
    <row r="628" spans="11:11" ht="18.75" customHeight="1" x14ac:dyDescent="0.25">
      <c r="K628"/>
    </row>
    <row r="629" spans="11:11" ht="18.75" customHeight="1" x14ac:dyDescent="0.25">
      <c r="K629"/>
    </row>
    <row r="630" spans="11:11" ht="18.75" customHeight="1" x14ac:dyDescent="0.25">
      <c r="K630"/>
    </row>
    <row r="631" spans="11:11" ht="18.75" customHeight="1" x14ac:dyDescent="0.25">
      <c r="K631"/>
    </row>
    <row r="632" spans="11:11" ht="18.75" customHeight="1" x14ac:dyDescent="0.25">
      <c r="K632"/>
    </row>
    <row r="633" spans="11:11" ht="18.75" customHeight="1" x14ac:dyDescent="0.25">
      <c r="K633"/>
    </row>
    <row r="634" spans="11:11" ht="18.75" customHeight="1" x14ac:dyDescent="0.25">
      <c r="K634"/>
    </row>
    <row r="635" spans="11:11" ht="18.75" customHeight="1" x14ac:dyDescent="0.25">
      <c r="K635"/>
    </row>
    <row r="636" spans="11:11" ht="18.75" customHeight="1" x14ac:dyDescent="0.25">
      <c r="K636"/>
    </row>
    <row r="637" spans="11:11" ht="18.75" customHeight="1" x14ac:dyDescent="0.25">
      <c r="K637"/>
    </row>
    <row r="638" spans="11:11" ht="18.75" customHeight="1" x14ac:dyDescent="0.25">
      <c r="K638"/>
    </row>
    <row r="639" spans="11:11" ht="18.75" customHeight="1" x14ac:dyDescent="0.25">
      <c r="K639"/>
    </row>
    <row r="640" spans="11:11" ht="18.75" customHeight="1" x14ac:dyDescent="0.25">
      <c r="K640"/>
    </row>
    <row r="641" spans="11:11" ht="18.75" customHeight="1" x14ac:dyDescent="0.25">
      <c r="K641"/>
    </row>
    <row r="642" spans="11:11" ht="18.75" customHeight="1" x14ac:dyDescent="0.25">
      <c r="K642"/>
    </row>
    <row r="643" spans="11:11" ht="18.75" customHeight="1" x14ac:dyDescent="0.25">
      <c r="K643"/>
    </row>
    <row r="644" spans="11:11" ht="18.75" customHeight="1" x14ac:dyDescent="0.25">
      <c r="K644"/>
    </row>
    <row r="645" spans="11:11" ht="18.75" customHeight="1" x14ac:dyDescent="0.25">
      <c r="K645"/>
    </row>
    <row r="646" spans="11:11" ht="18.75" customHeight="1" x14ac:dyDescent="0.25">
      <c r="K646"/>
    </row>
    <row r="647" spans="11:11" ht="18.75" customHeight="1" x14ac:dyDescent="0.25">
      <c r="K647"/>
    </row>
    <row r="648" spans="11:11" ht="18.75" customHeight="1" x14ac:dyDescent="0.25">
      <c r="K648"/>
    </row>
    <row r="649" spans="11:11" ht="18.75" customHeight="1" x14ac:dyDescent="0.25">
      <c r="K649"/>
    </row>
    <row r="650" spans="11:11" ht="18.75" customHeight="1" x14ac:dyDescent="0.25">
      <c r="K650"/>
    </row>
    <row r="651" spans="11:11" ht="18.75" customHeight="1" x14ac:dyDescent="0.25">
      <c r="K651"/>
    </row>
    <row r="652" spans="11:11" ht="18.75" customHeight="1" x14ac:dyDescent="0.25">
      <c r="K652"/>
    </row>
    <row r="653" spans="11:11" ht="18.75" customHeight="1" x14ac:dyDescent="0.25">
      <c r="K653"/>
    </row>
    <row r="654" spans="11:11" ht="18.75" customHeight="1" x14ac:dyDescent="0.25">
      <c r="K654"/>
    </row>
    <row r="655" spans="11:11" ht="18.75" customHeight="1" x14ac:dyDescent="0.25">
      <c r="K655"/>
    </row>
    <row r="656" spans="11:11" ht="18.75" customHeight="1" x14ac:dyDescent="0.25">
      <c r="K656"/>
    </row>
    <row r="657" spans="11:11" ht="18.75" customHeight="1" x14ac:dyDescent="0.25">
      <c r="K657"/>
    </row>
    <row r="658" spans="11:11" ht="18.75" customHeight="1" x14ac:dyDescent="0.25">
      <c r="K658"/>
    </row>
    <row r="659" spans="11:11" ht="18.75" customHeight="1" x14ac:dyDescent="0.25">
      <c r="K659"/>
    </row>
    <row r="660" spans="11:11" ht="18.75" customHeight="1" x14ac:dyDescent="0.25">
      <c r="K660"/>
    </row>
    <row r="661" spans="11:11" ht="18.75" customHeight="1" x14ac:dyDescent="0.25">
      <c r="K661"/>
    </row>
    <row r="662" spans="11:11" ht="18.75" customHeight="1" x14ac:dyDescent="0.25">
      <c r="K662"/>
    </row>
    <row r="663" spans="11:11" ht="18.75" customHeight="1" x14ac:dyDescent="0.25">
      <c r="K663"/>
    </row>
    <row r="664" spans="11:11" ht="18.75" customHeight="1" x14ac:dyDescent="0.25">
      <c r="K664"/>
    </row>
    <row r="665" spans="11:11" ht="18.75" customHeight="1" x14ac:dyDescent="0.25">
      <c r="K665"/>
    </row>
    <row r="666" spans="11:11" ht="18.75" customHeight="1" x14ac:dyDescent="0.25">
      <c r="K666"/>
    </row>
    <row r="667" spans="11:11" ht="18.75" customHeight="1" x14ac:dyDescent="0.25">
      <c r="K667"/>
    </row>
    <row r="668" spans="11:11" ht="18.75" customHeight="1" x14ac:dyDescent="0.25">
      <c r="K668"/>
    </row>
    <row r="669" spans="11:11" ht="18.75" customHeight="1" x14ac:dyDescent="0.25">
      <c r="K669"/>
    </row>
    <row r="670" spans="11:11" ht="18.75" customHeight="1" x14ac:dyDescent="0.25">
      <c r="K670"/>
    </row>
    <row r="671" spans="11:11" ht="18.75" customHeight="1" x14ac:dyDescent="0.25">
      <c r="K671"/>
    </row>
    <row r="672" spans="11:11" ht="18.75" customHeight="1" x14ac:dyDescent="0.25">
      <c r="K672"/>
    </row>
    <row r="673" spans="11:11" ht="18.75" customHeight="1" x14ac:dyDescent="0.25">
      <c r="K673"/>
    </row>
    <row r="674" spans="11:11" ht="18.75" customHeight="1" x14ac:dyDescent="0.25">
      <c r="K674"/>
    </row>
    <row r="675" spans="11:11" ht="18.75" customHeight="1" x14ac:dyDescent="0.25">
      <c r="K675"/>
    </row>
    <row r="676" spans="11:11" ht="18.75" customHeight="1" x14ac:dyDescent="0.25">
      <c r="K676"/>
    </row>
    <row r="677" spans="11:11" ht="18.75" customHeight="1" x14ac:dyDescent="0.25">
      <c r="K677"/>
    </row>
    <row r="678" spans="11:11" ht="18.75" customHeight="1" x14ac:dyDescent="0.25">
      <c r="K678"/>
    </row>
    <row r="679" spans="11:11" ht="18.75" customHeight="1" x14ac:dyDescent="0.25">
      <c r="K679"/>
    </row>
    <row r="680" spans="11:11" ht="18.75" customHeight="1" x14ac:dyDescent="0.25">
      <c r="K680"/>
    </row>
    <row r="681" spans="11:11" ht="18.75" customHeight="1" x14ac:dyDescent="0.25">
      <c r="K681"/>
    </row>
    <row r="682" spans="11:11" ht="18.75" customHeight="1" x14ac:dyDescent="0.25">
      <c r="K682"/>
    </row>
    <row r="683" spans="11:11" ht="18.75" customHeight="1" x14ac:dyDescent="0.25">
      <c r="K683"/>
    </row>
    <row r="684" spans="11:11" ht="18.75" customHeight="1" x14ac:dyDescent="0.25">
      <c r="K684"/>
    </row>
    <row r="685" spans="11:11" ht="18.75" customHeight="1" x14ac:dyDescent="0.25">
      <c r="K685"/>
    </row>
    <row r="686" spans="11:11" ht="18.75" customHeight="1" x14ac:dyDescent="0.25">
      <c r="K686"/>
    </row>
    <row r="687" spans="11:11" ht="18.75" customHeight="1" x14ac:dyDescent="0.25">
      <c r="K687"/>
    </row>
    <row r="688" spans="11:11" ht="18.75" customHeight="1" x14ac:dyDescent="0.25">
      <c r="K688"/>
    </row>
    <row r="689" spans="11:11" ht="18.75" customHeight="1" x14ac:dyDescent="0.25">
      <c r="K689"/>
    </row>
    <row r="690" spans="11:11" ht="18.75" customHeight="1" x14ac:dyDescent="0.25">
      <c r="K690"/>
    </row>
    <row r="691" spans="11:11" ht="18.75" customHeight="1" x14ac:dyDescent="0.25">
      <c r="K691"/>
    </row>
    <row r="692" spans="11:11" ht="18.75" customHeight="1" x14ac:dyDescent="0.25">
      <c r="K692"/>
    </row>
    <row r="693" spans="11:11" ht="18.75" customHeight="1" x14ac:dyDescent="0.25">
      <c r="K693"/>
    </row>
    <row r="694" spans="11:11" ht="18.75" customHeight="1" x14ac:dyDescent="0.25">
      <c r="K694"/>
    </row>
    <row r="695" spans="11:11" ht="18.75" customHeight="1" x14ac:dyDescent="0.25">
      <c r="K695"/>
    </row>
    <row r="696" spans="11:11" ht="18.75" customHeight="1" x14ac:dyDescent="0.25">
      <c r="K696"/>
    </row>
    <row r="697" spans="11:11" ht="18.75" customHeight="1" x14ac:dyDescent="0.25">
      <c r="K697"/>
    </row>
    <row r="698" spans="11:11" ht="18.75" customHeight="1" x14ac:dyDescent="0.25">
      <c r="K698"/>
    </row>
    <row r="699" spans="11:11" ht="18.75" customHeight="1" x14ac:dyDescent="0.25">
      <c r="K699"/>
    </row>
    <row r="700" spans="11:11" ht="18.75" customHeight="1" x14ac:dyDescent="0.25">
      <c r="K700"/>
    </row>
    <row r="701" spans="11:11" ht="18.75" customHeight="1" x14ac:dyDescent="0.25">
      <c r="K701"/>
    </row>
    <row r="702" spans="11:11" ht="18.75" customHeight="1" x14ac:dyDescent="0.25">
      <c r="K702"/>
    </row>
    <row r="703" spans="11:11" ht="18.75" customHeight="1" x14ac:dyDescent="0.25">
      <c r="K703"/>
    </row>
    <row r="704" spans="11:11" ht="18.75" customHeight="1" x14ac:dyDescent="0.25">
      <c r="K704"/>
    </row>
    <row r="705" spans="11:11" ht="18.75" customHeight="1" x14ac:dyDescent="0.25">
      <c r="K705"/>
    </row>
    <row r="706" spans="11:11" ht="18.75" customHeight="1" x14ac:dyDescent="0.25">
      <c r="K706"/>
    </row>
    <row r="707" spans="11:11" ht="18.75" customHeight="1" x14ac:dyDescent="0.25">
      <c r="K707"/>
    </row>
    <row r="708" spans="11:11" ht="18.75" customHeight="1" x14ac:dyDescent="0.25">
      <c r="K708"/>
    </row>
    <row r="709" spans="11:11" ht="18.75" customHeight="1" x14ac:dyDescent="0.25">
      <c r="K709"/>
    </row>
    <row r="710" spans="11:11" ht="18.75" customHeight="1" x14ac:dyDescent="0.25">
      <c r="K710"/>
    </row>
    <row r="711" spans="11:11" ht="18.75" customHeight="1" x14ac:dyDescent="0.25">
      <c r="K711"/>
    </row>
    <row r="712" spans="11:11" ht="18.75" customHeight="1" x14ac:dyDescent="0.25">
      <c r="K712"/>
    </row>
    <row r="713" spans="11:11" ht="18.75" customHeight="1" x14ac:dyDescent="0.25">
      <c r="K713"/>
    </row>
    <row r="714" spans="11:11" ht="18.75" customHeight="1" x14ac:dyDescent="0.25">
      <c r="K714"/>
    </row>
    <row r="715" spans="11:11" ht="18.75" customHeight="1" x14ac:dyDescent="0.25">
      <c r="K715"/>
    </row>
    <row r="716" spans="11:11" ht="18.75" customHeight="1" x14ac:dyDescent="0.25">
      <c r="K716"/>
    </row>
    <row r="717" spans="11:11" ht="18.75" customHeight="1" x14ac:dyDescent="0.25">
      <c r="K717"/>
    </row>
    <row r="718" spans="11:11" ht="18.75" customHeight="1" x14ac:dyDescent="0.25">
      <c r="K718"/>
    </row>
    <row r="719" spans="11:11" ht="18.75" customHeight="1" x14ac:dyDescent="0.25">
      <c r="K719"/>
    </row>
    <row r="720" spans="11:11" ht="18.75" customHeight="1" x14ac:dyDescent="0.25">
      <c r="K720"/>
    </row>
    <row r="721" spans="11:11" ht="18.75" customHeight="1" x14ac:dyDescent="0.25">
      <c r="K721"/>
    </row>
    <row r="722" spans="11:11" ht="18.75" customHeight="1" x14ac:dyDescent="0.25">
      <c r="K722"/>
    </row>
    <row r="723" spans="11:11" ht="18.75" customHeight="1" x14ac:dyDescent="0.25">
      <c r="K723"/>
    </row>
    <row r="724" spans="11:11" ht="18.75" customHeight="1" x14ac:dyDescent="0.25">
      <c r="K724"/>
    </row>
    <row r="725" spans="11:11" ht="18.75" customHeight="1" x14ac:dyDescent="0.25">
      <c r="K725"/>
    </row>
    <row r="726" spans="11:11" ht="18.75" customHeight="1" x14ac:dyDescent="0.25">
      <c r="K726"/>
    </row>
    <row r="727" spans="11:11" ht="18.75" customHeight="1" x14ac:dyDescent="0.25">
      <c r="K727"/>
    </row>
    <row r="728" spans="11:11" ht="18.75" customHeight="1" x14ac:dyDescent="0.25">
      <c r="K728"/>
    </row>
    <row r="729" spans="11:11" ht="18.75" customHeight="1" x14ac:dyDescent="0.25">
      <c r="K729"/>
    </row>
    <row r="730" spans="11:11" ht="18.75" customHeight="1" x14ac:dyDescent="0.25">
      <c r="K730"/>
    </row>
    <row r="731" spans="11:11" ht="18.75" customHeight="1" x14ac:dyDescent="0.25">
      <c r="K731"/>
    </row>
    <row r="732" spans="11:11" ht="18.75" customHeight="1" x14ac:dyDescent="0.25">
      <c r="K732"/>
    </row>
    <row r="733" spans="11:11" ht="18.75" customHeight="1" x14ac:dyDescent="0.25">
      <c r="K733"/>
    </row>
    <row r="734" spans="11:11" ht="18.75" customHeight="1" x14ac:dyDescent="0.25">
      <c r="K734"/>
    </row>
    <row r="735" spans="11:11" ht="18.75" customHeight="1" x14ac:dyDescent="0.25">
      <c r="K735"/>
    </row>
    <row r="736" spans="11:11" ht="18.75" customHeight="1" x14ac:dyDescent="0.25">
      <c r="K736"/>
    </row>
    <row r="737" spans="11:11" ht="18.75" customHeight="1" x14ac:dyDescent="0.25">
      <c r="K737"/>
    </row>
    <row r="738" spans="11:11" ht="18.75" customHeight="1" x14ac:dyDescent="0.25">
      <c r="K738"/>
    </row>
    <row r="739" spans="11:11" ht="18.75" customHeight="1" x14ac:dyDescent="0.25">
      <c r="K739"/>
    </row>
    <row r="740" spans="11:11" ht="18.75" customHeight="1" x14ac:dyDescent="0.25">
      <c r="K740"/>
    </row>
    <row r="741" spans="11:11" ht="18.75" customHeight="1" x14ac:dyDescent="0.25">
      <c r="K741"/>
    </row>
    <row r="742" spans="11:11" ht="18.75" customHeight="1" x14ac:dyDescent="0.25">
      <c r="K742"/>
    </row>
    <row r="743" spans="11:11" ht="18.75" customHeight="1" x14ac:dyDescent="0.25">
      <c r="K743"/>
    </row>
    <row r="744" spans="11:11" ht="18.75" customHeight="1" x14ac:dyDescent="0.25">
      <c r="K744"/>
    </row>
    <row r="745" spans="11:11" ht="18.75" customHeight="1" x14ac:dyDescent="0.25">
      <c r="K745"/>
    </row>
    <row r="746" spans="11:11" ht="18.75" customHeight="1" x14ac:dyDescent="0.25">
      <c r="K746"/>
    </row>
    <row r="747" spans="11:11" ht="18.75" customHeight="1" x14ac:dyDescent="0.25">
      <c r="K747"/>
    </row>
    <row r="748" spans="11:11" ht="18.75" customHeight="1" x14ac:dyDescent="0.25">
      <c r="K748"/>
    </row>
    <row r="749" spans="11:11" ht="18.75" customHeight="1" x14ac:dyDescent="0.25">
      <c r="K749"/>
    </row>
    <row r="750" spans="11:11" ht="18.75" customHeight="1" x14ac:dyDescent="0.25">
      <c r="K750"/>
    </row>
    <row r="751" spans="11:11" ht="18.75" customHeight="1" x14ac:dyDescent="0.25">
      <c r="K751"/>
    </row>
    <row r="752" spans="11:11" ht="18.75" customHeight="1" x14ac:dyDescent="0.25">
      <c r="K752"/>
    </row>
    <row r="753" spans="11:11" ht="18.75" customHeight="1" x14ac:dyDescent="0.25">
      <c r="K753"/>
    </row>
    <row r="754" spans="11:11" ht="18.75" customHeight="1" x14ac:dyDescent="0.25">
      <c r="K754"/>
    </row>
    <row r="755" spans="11:11" ht="18.75" customHeight="1" x14ac:dyDescent="0.25">
      <c r="K755"/>
    </row>
    <row r="756" spans="11:11" ht="18.75" customHeight="1" x14ac:dyDescent="0.25">
      <c r="K756"/>
    </row>
    <row r="757" spans="11:11" ht="18.75" customHeight="1" x14ac:dyDescent="0.25">
      <c r="K757"/>
    </row>
    <row r="758" spans="11:11" ht="18.75" customHeight="1" x14ac:dyDescent="0.25">
      <c r="K758"/>
    </row>
    <row r="759" spans="11:11" ht="18.75" customHeight="1" x14ac:dyDescent="0.25">
      <c r="K759"/>
    </row>
    <row r="760" spans="11:11" ht="18.75" customHeight="1" x14ac:dyDescent="0.25">
      <c r="K760"/>
    </row>
    <row r="761" spans="11:11" ht="18.75" customHeight="1" x14ac:dyDescent="0.25">
      <c r="K761"/>
    </row>
    <row r="762" spans="11:11" ht="18.75" customHeight="1" x14ac:dyDescent="0.25">
      <c r="K762"/>
    </row>
    <row r="763" spans="11:11" ht="18.75" customHeight="1" x14ac:dyDescent="0.25">
      <c r="K763"/>
    </row>
    <row r="764" spans="11:11" ht="18.75" customHeight="1" x14ac:dyDescent="0.25">
      <c r="K764"/>
    </row>
    <row r="765" spans="11:11" ht="18.75" customHeight="1" x14ac:dyDescent="0.25">
      <c r="K765"/>
    </row>
    <row r="766" spans="11:11" ht="18.75" customHeight="1" x14ac:dyDescent="0.25">
      <c r="K766"/>
    </row>
    <row r="767" spans="11:11" ht="18.75" customHeight="1" x14ac:dyDescent="0.25">
      <c r="K767"/>
    </row>
    <row r="768" spans="11:11" ht="18.75" customHeight="1" x14ac:dyDescent="0.25">
      <c r="K768"/>
    </row>
    <row r="769" spans="11:11" ht="18.75" customHeight="1" x14ac:dyDescent="0.25">
      <c r="K769"/>
    </row>
    <row r="770" spans="11:11" ht="18.75" customHeight="1" x14ac:dyDescent="0.25">
      <c r="K770"/>
    </row>
    <row r="771" spans="11:11" ht="18.75" customHeight="1" x14ac:dyDescent="0.25">
      <c r="K771"/>
    </row>
    <row r="772" spans="11:11" ht="18.75" customHeight="1" x14ac:dyDescent="0.25">
      <c r="K772"/>
    </row>
    <row r="773" spans="11:11" ht="18.75" customHeight="1" x14ac:dyDescent="0.25">
      <c r="K773"/>
    </row>
    <row r="774" spans="11:11" ht="18.75" customHeight="1" x14ac:dyDescent="0.25">
      <c r="K774"/>
    </row>
    <row r="775" spans="11:11" ht="18.75" customHeight="1" x14ac:dyDescent="0.25">
      <c r="K775"/>
    </row>
    <row r="776" spans="11:11" ht="18.75" customHeight="1" x14ac:dyDescent="0.25">
      <c r="K776"/>
    </row>
    <row r="777" spans="11:11" ht="18.75" customHeight="1" x14ac:dyDescent="0.25">
      <c r="K777"/>
    </row>
    <row r="778" spans="11:11" ht="18.75" customHeight="1" x14ac:dyDescent="0.25">
      <c r="K778"/>
    </row>
    <row r="779" spans="11:11" ht="18.75" customHeight="1" x14ac:dyDescent="0.25">
      <c r="K779"/>
    </row>
    <row r="780" spans="11:11" ht="18.75" customHeight="1" x14ac:dyDescent="0.25">
      <c r="K780"/>
    </row>
    <row r="781" spans="11:11" ht="18.75" customHeight="1" x14ac:dyDescent="0.25">
      <c r="K781"/>
    </row>
    <row r="782" spans="11:11" ht="18.75" customHeight="1" x14ac:dyDescent="0.25">
      <c r="K782"/>
    </row>
    <row r="783" spans="11:11" ht="18.75" customHeight="1" x14ac:dyDescent="0.25">
      <c r="K783"/>
    </row>
    <row r="784" spans="11:11" ht="18.75" customHeight="1" x14ac:dyDescent="0.25">
      <c r="K784"/>
    </row>
    <row r="785" spans="11:11" ht="18.75" customHeight="1" x14ac:dyDescent="0.25">
      <c r="K785"/>
    </row>
    <row r="786" spans="11:11" ht="18.75" customHeight="1" x14ac:dyDescent="0.25">
      <c r="K786"/>
    </row>
    <row r="787" spans="11:11" ht="18.75" customHeight="1" x14ac:dyDescent="0.25">
      <c r="K787"/>
    </row>
    <row r="788" spans="11:11" ht="18.75" customHeight="1" x14ac:dyDescent="0.25">
      <c r="K788"/>
    </row>
    <row r="789" spans="11:11" ht="18.75" customHeight="1" x14ac:dyDescent="0.25">
      <c r="K789"/>
    </row>
    <row r="790" spans="11:11" ht="18.75" customHeight="1" x14ac:dyDescent="0.25">
      <c r="K790"/>
    </row>
    <row r="791" spans="11:11" ht="18.75" customHeight="1" x14ac:dyDescent="0.25">
      <c r="K791"/>
    </row>
    <row r="792" spans="11:11" ht="18.75" customHeight="1" x14ac:dyDescent="0.25">
      <c r="K792"/>
    </row>
    <row r="793" spans="11:11" ht="18.75" customHeight="1" x14ac:dyDescent="0.25">
      <c r="K793"/>
    </row>
    <row r="794" spans="11:11" ht="18.75" customHeight="1" x14ac:dyDescent="0.25">
      <c r="K794"/>
    </row>
    <row r="795" spans="11:11" ht="18.75" customHeight="1" x14ac:dyDescent="0.25">
      <c r="K795"/>
    </row>
    <row r="796" spans="11:11" ht="18.75" customHeight="1" x14ac:dyDescent="0.25">
      <c r="K796"/>
    </row>
    <row r="797" spans="11:11" ht="18.75" customHeight="1" x14ac:dyDescent="0.25">
      <c r="K797"/>
    </row>
    <row r="798" spans="11:11" ht="18.75" customHeight="1" x14ac:dyDescent="0.25">
      <c r="K798"/>
    </row>
    <row r="799" spans="11:11" ht="18.75" customHeight="1" x14ac:dyDescent="0.25">
      <c r="K799"/>
    </row>
    <row r="800" spans="11:11" ht="18.75" customHeight="1" x14ac:dyDescent="0.25">
      <c r="K800"/>
    </row>
    <row r="801" spans="11:11" ht="18.75" customHeight="1" x14ac:dyDescent="0.25">
      <c r="K801"/>
    </row>
    <row r="802" spans="11:11" ht="18.75" customHeight="1" x14ac:dyDescent="0.25">
      <c r="K802"/>
    </row>
    <row r="803" spans="11:11" ht="18.75" customHeight="1" x14ac:dyDescent="0.25">
      <c r="K803"/>
    </row>
    <row r="804" spans="11:11" ht="18.75" customHeight="1" x14ac:dyDescent="0.25">
      <c r="K804"/>
    </row>
    <row r="805" spans="11:11" ht="18.75" customHeight="1" x14ac:dyDescent="0.25">
      <c r="K805"/>
    </row>
    <row r="806" spans="11:11" ht="18.75" customHeight="1" x14ac:dyDescent="0.25">
      <c r="K806"/>
    </row>
    <row r="807" spans="11:11" ht="18.75" customHeight="1" x14ac:dyDescent="0.25">
      <c r="K807"/>
    </row>
    <row r="808" spans="11:11" ht="18.75" customHeight="1" x14ac:dyDescent="0.25">
      <c r="K808"/>
    </row>
    <row r="809" spans="11:11" ht="18.75" customHeight="1" x14ac:dyDescent="0.25">
      <c r="K809"/>
    </row>
    <row r="810" spans="11:11" ht="18.75" customHeight="1" x14ac:dyDescent="0.25">
      <c r="K810"/>
    </row>
    <row r="811" spans="11:11" ht="18.75" customHeight="1" x14ac:dyDescent="0.25">
      <c r="K811"/>
    </row>
    <row r="812" spans="11:11" ht="18.75" customHeight="1" x14ac:dyDescent="0.25">
      <c r="K812"/>
    </row>
    <row r="813" spans="11:11" ht="18.75" customHeight="1" x14ac:dyDescent="0.25">
      <c r="K813"/>
    </row>
    <row r="814" spans="11:11" ht="18.75" customHeight="1" x14ac:dyDescent="0.25">
      <c r="K814"/>
    </row>
    <row r="815" spans="11:11" ht="18.75" customHeight="1" x14ac:dyDescent="0.25">
      <c r="K815"/>
    </row>
    <row r="816" spans="11:11" ht="18.75" customHeight="1" x14ac:dyDescent="0.25">
      <c r="K816"/>
    </row>
    <row r="817" spans="11:11" ht="18.75" customHeight="1" x14ac:dyDescent="0.25">
      <c r="K817"/>
    </row>
    <row r="818" spans="11:11" ht="18.75" customHeight="1" x14ac:dyDescent="0.25">
      <c r="K818"/>
    </row>
    <row r="819" spans="11:11" ht="18.75" customHeight="1" x14ac:dyDescent="0.25">
      <c r="K819"/>
    </row>
    <row r="820" spans="11:11" ht="18.75" customHeight="1" x14ac:dyDescent="0.25">
      <c r="K820"/>
    </row>
    <row r="821" spans="11:11" ht="18.75" customHeight="1" x14ac:dyDescent="0.25">
      <c r="K821"/>
    </row>
    <row r="822" spans="11:11" ht="18.75" customHeight="1" x14ac:dyDescent="0.25">
      <c r="K822"/>
    </row>
    <row r="823" spans="11:11" ht="18.75" customHeight="1" x14ac:dyDescent="0.25">
      <c r="K823"/>
    </row>
    <row r="824" spans="11:11" ht="18.75" customHeight="1" x14ac:dyDescent="0.25">
      <c r="K824"/>
    </row>
    <row r="825" spans="11:11" ht="18.75" customHeight="1" x14ac:dyDescent="0.25">
      <c r="K825"/>
    </row>
    <row r="826" spans="11:11" ht="18.75" customHeight="1" x14ac:dyDescent="0.25">
      <c r="K826"/>
    </row>
    <row r="827" spans="11:11" ht="18.75" customHeight="1" x14ac:dyDescent="0.25">
      <c r="K827"/>
    </row>
    <row r="828" spans="11:11" ht="18.75" customHeight="1" x14ac:dyDescent="0.25">
      <c r="K828"/>
    </row>
    <row r="829" spans="11:11" ht="18.75" customHeight="1" x14ac:dyDescent="0.25">
      <c r="K829"/>
    </row>
    <row r="830" spans="11:11" ht="18.75" customHeight="1" x14ac:dyDescent="0.25">
      <c r="K830"/>
    </row>
    <row r="831" spans="11:11" ht="18.75" customHeight="1" x14ac:dyDescent="0.25">
      <c r="K831"/>
    </row>
    <row r="832" spans="11:11" ht="18.75" customHeight="1" x14ac:dyDescent="0.25">
      <c r="K832"/>
    </row>
    <row r="833" spans="11:11" ht="18.75" customHeight="1" x14ac:dyDescent="0.25">
      <c r="K833"/>
    </row>
    <row r="834" spans="11:11" ht="18.75" customHeight="1" x14ac:dyDescent="0.25">
      <c r="K834"/>
    </row>
    <row r="835" spans="11:11" ht="18.75" customHeight="1" x14ac:dyDescent="0.25">
      <c r="K835"/>
    </row>
    <row r="836" spans="11:11" ht="18.75" customHeight="1" x14ac:dyDescent="0.25">
      <c r="K836"/>
    </row>
    <row r="837" spans="11:11" ht="18.75" customHeight="1" x14ac:dyDescent="0.25">
      <c r="K837"/>
    </row>
    <row r="838" spans="11:11" ht="18.75" customHeight="1" x14ac:dyDescent="0.25">
      <c r="K838"/>
    </row>
    <row r="839" spans="11:11" ht="18.75" customHeight="1" x14ac:dyDescent="0.25">
      <c r="K839"/>
    </row>
    <row r="840" spans="11:11" ht="18.75" customHeight="1" x14ac:dyDescent="0.25">
      <c r="K840"/>
    </row>
    <row r="841" spans="11:11" ht="18.75" customHeight="1" x14ac:dyDescent="0.25">
      <c r="K841"/>
    </row>
    <row r="842" spans="11:11" ht="18.75" customHeight="1" x14ac:dyDescent="0.25">
      <c r="K842"/>
    </row>
    <row r="843" spans="11:11" ht="18.75" customHeight="1" x14ac:dyDescent="0.25">
      <c r="K843"/>
    </row>
    <row r="844" spans="11:11" ht="18.75" customHeight="1" x14ac:dyDescent="0.25">
      <c r="K844"/>
    </row>
    <row r="845" spans="11:11" ht="18.75" customHeight="1" x14ac:dyDescent="0.25">
      <c r="K845"/>
    </row>
    <row r="846" spans="11:11" ht="18.75" customHeight="1" x14ac:dyDescent="0.25">
      <c r="K846"/>
    </row>
    <row r="847" spans="11:11" ht="18.75" customHeight="1" x14ac:dyDescent="0.25">
      <c r="K847"/>
    </row>
    <row r="848" spans="11:11" ht="18.75" customHeight="1" x14ac:dyDescent="0.25">
      <c r="K848"/>
    </row>
    <row r="849" spans="11:11" ht="18.75" customHeight="1" x14ac:dyDescent="0.25">
      <c r="K849"/>
    </row>
    <row r="850" spans="11:11" ht="18.75" customHeight="1" x14ac:dyDescent="0.25">
      <c r="K850"/>
    </row>
    <row r="851" spans="11:11" ht="18.75" customHeight="1" x14ac:dyDescent="0.25">
      <c r="K851"/>
    </row>
    <row r="852" spans="11:11" ht="18.75" customHeight="1" x14ac:dyDescent="0.25">
      <c r="K852"/>
    </row>
    <row r="853" spans="11:11" ht="18.75" customHeight="1" x14ac:dyDescent="0.25">
      <c r="K853"/>
    </row>
    <row r="854" spans="11:11" ht="18.75" customHeight="1" x14ac:dyDescent="0.25">
      <c r="K854"/>
    </row>
    <row r="855" spans="11:11" ht="18.75" customHeight="1" x14ac:dyDescent="0.25">
      <c r="K855"/>
    </row>
    <row r="856" spans="11:11" ht="18.75" customHeight="1" x14ac:dyDescent="0.25">
      <c r="K856"/>
    </row>
    <row r="857" spans="11:11" ht="18.75" customHeight="1" x14ac:dyDescent="0.25">
      <c r="K857"/>
    </row>
    <row r="858" spans="11:11" ht="18.75" customHeight="1" x14ac:dyDescent="0.25">
      <c r="K858"/>
    </row>
    <row r="859" spans="11:11" ht="18.75" customHeight="1" x14ac:dyDescent="0.25">
      <c r="K859"/>
    </row>
    <row r="860" spans="11:11" ht="18.75" customHeight="1" x14ac:dyDescent="0.25">
      <c r="K860"/>
    </row>
    <row r="861" spans="11:11" ht="18.75" customHeight="1" x14ac:dyDescent="0.25">
      <c r="K861"/>
    </row>
    <row r="862" spans="11:11" ht="18.75" customHeight="1" x14ac:dyDescent="0.25">
      <c r="K862"/>
    </row>
    <row r="863" spans="11:11" ht="18.75" customHeight="1" x14ac:dyDescent="0.25">
      <c r="K863"/>
    </row>
    <row r="864" spans="11:11" ht="18.75" customHeight="1" x14ac:dyDescent="0.25">
      <c r="K864"/>
    </row>
    <row r="865" spans="11:11" ht="18.75" customHeight="1" x14ac:dyDescent="0.25">
      <c r="K865"/>
    </row>
    <row r="866" spans="11:11" ht="18.75" customHeight="1" x14ac:dyDescent="0.25">
      <c r="K866"/>
    </row>
    <row r="867" spans="11:11" ht="18.75" customHeight="1" x14ac:dyDescent="0.25">
      <c r="K867"/>
    </row>
    <row r="868" spans="11:11" ht="18.75" customHeight="1" x14ac:dyDescent="0.25">
      <c r="K868"/>
    </row>
    <row r="869" spans="11:11" ht="18.75" customHeight="1" x14ac:dyDescent="0.25">
      <c r="K869"/>
    </row>
    <row r="870" spans="11:11" ht="18.75" customHeight="1" x14ac:dyDescent="0.25">
      <c r="K870"/>
    </row>
    <row r="871" spans="11:11" ht="18.75" customHeight="1" x14ac:dyDescent="0.25">
      <c r="K871"/>
    </row>
    <row r="872" spans="11:11" ht="18.75" customHeight="1" x14ac:dyDescent="0.25">
      <c r="K872"/>
    </row>
    <row r="873" spans="11:11" ht="18.75" customHeight="1" x14ac:dyDescent="0.25">
      <c r="K873"/>
    </row>
    <row r="874" spans="11:11" ht="18.75" customHeight="1" x14ac:dyDescent="0.25">
      <c r="K874"/>
    </row>
    <row r="875" spans="11:11" ht="18.75" customHeight="1" x14ac:dyDescent="0.25">
      <c r="K875"/>
    </row>
    <row r="876" spans="11:11" ht="18.75" customHeight="1" x14ac:dyDescent="0.25">
      <c r="K876"/>
    </row>
    <row r="877" spans="11:11" ht="18.75" customHeight="1" x14ac:dyDescent="0.25">
      <c r="K877"/>
    </row>
    <row r="878" spans="11:11" ht="18.75" customHeight="1" x14ac:dyDescent="0.25">
      <c r="K878"/>
    </row>
    <row r="879" spans="11:11" ht="18.75" customHeight="1" x14ac:dyDescent="0.25">
      <c r="K879"/>
    </row>
    <row r="880" spans="11:11" ht="18.75" customHeight="1" x14ac:dyDescent="0.25">
      <c r="K880"/>
    </row>
    <row r="881" spans="11:11" ht="18.75" customHeight="1" x14ac:dyDescent="0.25">
      <c r="K881"/>
    </row>
    <row r="882" spans="11:11" ht="18.75" customHeight="1" x14ac:dyDescent="0.25">
      <c r="K882"/>
    </row>
    <row r="883" spans="11:11" ht="18.75" customHeight="1" x14ac:dyDescent="0.25">
      <c r="K883"/>
    </row>
    <row r="884" spans="11:11" ht="18.75" customHeight="1" x14ac:dyDescent="0.25">
      <c r="K884"/>
    </row>
    <row r="885" spans="11:11" ht="18.75" customHeight="1" x14ac:dyDescent="0.25">
      <c r="K885"/>
    </row>
    <row r="886" spans="11:11" ht="18.75" customHeight="1" x14ac:dyDescent="0.25">
      <c r="K886"/>
    </row>
    <row r="887" spans="11:11" ht="18.75" customHeight="1" x14ac:dyDescent="0.25">
      <c r="K887"/>
    </row>
    <row r="888" spans="11:11" ht="18.75" customHeight="1" x14ac:dyDescent="0.25">
      <c r="K888"/>
    </row>
    <row r="889" spans="11:11" ht="18.75" customHeight="1" x14ac:dyDescent="0.25">
      <c r="K889"/>
    </row>
    <row r="890" spans="11:11" ht="18.75" customHeight="1" x14ac:dyDescent="0.25">
      <c r="K890"/>
    </row>
    <row r="891" spans="11:11" ht="18.75" customHeight="1" x14ac:dyDescent="0.25">
      <c r="K891"/>
    </row>
    <row r="892" spans="11:11" ht="18.75" customHeight="1" x14ac:dyDescent="0.25">
      <c r="K892"/>
    </row>
    <row r="893" spans="11:11" ht="18.75" customHeight="1" x14ac:dyDescent="0.25">
      <c r="K893"/>
    </row>
    <row r="894" spans="11:11" ht="18.75" customHeight="1" x14ac:dyDescent="0.25">
      <c r="K894"/>
    </row>
    <row r="895" spans="11:11" ht="18.75" customHeight="1" x14ac:dyDescent="0.25">
      <c r="K895"/>
    </row>
    <row r="896" spans="11:11" ht="18.75" customHeight="1" x14ac:dyDescent="0.25">
      <c r="K896"/>
    </row>
    <row r="897" spans="11:11" ht="18.75" customHeight="1" x14ac:dyDescent="0.25">
      <c r="K897"/>
    </row>
    <row r="898" spans="11:11" ht="18.75" customHeight="1" x14ac:dyDescent="0.25">
      <c r="K898"/>
    </row>
    <row r="899" spans="11:11" ht="18.75" customHeight="1" x14ac:dyDescent="0.25">
      <c r="K899"/>
    </row>
    <row r="900" spans="11:11" ht="18.75" customHeight="1" x14ac:dyDescent="0.25">
      <c r="K900"/>
    </row>
    <row r="901" spans="11:11" ht="18.75" customHeight="1" x14ac:dyDescent="0.25">
      <c r="K901"/>
    </row>
    <row r="902" spans="11:11" ht="18.75" customHeight="1" x14ac:dyDescent="0.25">
      <c r="K902"/>
    </row>
    <row r="903" spans="11:11" ht="18.75" customHeight="1" x14ac:dyDescent="0.25">
      <c r="K903"/>
    </row>
    <row r="904" spans="11:11" ht="18.75" customHeight="1" x14ac:dyDescent="0.25">
      <c r="K904"/>
    </row>
    <row r="905" spans="11:11" ht="18.75" customHeight="1" x14ac:dyDescent="0.25">
      <c r="K905"/>
    </row>
    <row r="906" spans="11:11" ht="18.75" customHeight="1" x14ac:dyDescent="0.25">
      <c r="K906"/>
    </row>
    <row r="907" spans="11:11" ht="18.75" customHeight="1" x14ac:dyDescent="0.25">
      <c r="K907"/>
    </row>
    <row r="908" spans="11:11" ht="18.75" customHeight="1" x14ac:dyDescent="0.25">
      <c r="K908"/>
    </row>
    <row r="909" spans="11:11" ht="18.75" customHeight="1" x14ac:dyDescent="0.25">
      <c r="K909"/>
    </row>
    <row r="910" spans="11:11" ht="18.75" customHeight="1" x14ac:dyDescent="0.25">
      <c r="K910"/>
    </row>
    <row r="911" spans="11:11" ht="18.75" customHeight="1" x14ac:dyDescent="0.25">
      <c r="K911"/>
    </row>
    <row r="912" spans="11:11" ht="18.75" customHeight="1" x14ac:dyDescent="0.25">
      <c r="K912"/>
    </row>
    <row r="913" spans="11:11" ht="18.75" customHeight="1" x14ac:dyDescent="0.25">
      <c r="K913"/>
    </row>
    <row r="914" spans="11:11" ht="18.75" customHeight="1" x14ac:dyDescent="0.25">
      <c r="K914"/>
    </row>
    <row r="915" spans="11:11" ht="18.75" customHeight="1" x14ac:dyDescent="0.25">
      <c r="K915"/>
    </row>
    <row r="916" spans="11:11" ht="18.75" customHeight="1" x14ac:dyDescent="0.25">
      <c r="K916"/>
    </row>
    <row r="917" spans="11:11" ht="18.75" customHeight="1" x14ac:dyDescent="0.25">
      <c r="K917"/>
    </row>
    <row r="918" spans="11:11" ht="18.75" customHeight="1" x14ac:dyDescent="0.25">
      <c r="K918"/>
    </row>
    <row r="919" spans="11:11" ht="18.75" customHeight="1" x14ac:dyDescent="0.25">
      <c r="K919"/>
    </row>
    <row r="920" spans="11:11" ht="18.75" customHeight="1" x14ac:dyDescent="0.25">
      <c r="K920"/>
    </row>
    <row r="921" spans="11:11" ht="18.75" customHeight="1" x14ac:dyDescent="0.25">
      <c r="K921"/>
    </row>
    <row r="922" spans="11:11" ht="18.75" customHeight="1" x14ac:dyDescent="0.25">
      <c r="K922"/>
    </row>
    <row r="923" spans="11:11" ht="18.75" customHeight="1" x14ac:dyDescent="0.25">
      <c r="K923"/>
    </row>
    <row r="924" spans="11:11" ht="18.75" customHeight="1" x14ac:dyDescent="0.25">
      <c r="K924"/>
    </row>
    <row r="925" spans="11:11" ht="18.75" customHeight="1" x14ac:dyDescent="0.25">
      <c r="K925"/>
    </row>
    <row r="926" spans="11:11" ht="18.75" customHeight="1" x14ac:dyDescent="0.25">
      <c r="K926"/>
    </row>
    <row r="927" spans="11:11" ht="18.75" customHeight="1" x14ac:dyDescent="0.25">
      <c r="K927"/>
    </row>
    <row r="928" spans="11:11" ht="18.75" customHeight="1" x14ac:dyDescent="0.25">
      <c r="K928"/>
    </row>
    <row r="929" spans="11:11" ht="18.75" customHeight="1" x14ac:dyDescent="0.25">
      <c r="K929"/>
    </row>
    <row r="930" spans="11:11" ht="18.75" customHeight="1" x14ac:dyDescent="0.25">
      <c r="K930"/>
    </row>
    <row r="931" spans="11:11" ht="18.75" customHeight="1" x14ac:dyDescent="0.25">
      <c r="K931"/>
    </row>
    <row r="932" spans="11:11" ht="18.75" customHeight="1" x14ac:dyDescent="0.25">
      <c r="K932"/>
    </row>
    <row r="933" spans="11:11" ht="18.75" customHeight="1" x14ac:dyDescent="0.25">
      <c r="K933"/>
    </row>
    <row r="934" spans="11:11" ht="18.75" customHeight="1" x14ac:dyDescent="0.25">
      <c r="K934"/>
    </row>
    <row r="935" spans="11:11" ht="18.75" customHeight="1" x14ac:dyDescent="0.25">
      <c r="K935"/>
    </row>
    <row r="936" spans="11:11" ht="18.75" customHeight="1" x14ac:dyDescent="0.25">
      <c r="K936"/>
    </row>
    <row r="937" spans="11:11" ht="18.75" customHeight="1" x14ac:dyDescent="0.25">
      <c r="K937"/>
    </row>
    <row r="938" spans="11:11" ht="18.75" customHeight="1" x14ac:dyDescent="0.25">
      <c r="K938"/>
    </row>
    <row r="939" spans="11:11" ht="18.75" customHeight="1" x14ac:dyDescent="0.25">
      <c r="K939"/>
    </row>
    <row r="940" spans="11:11" ht="18.75" customHeight="1" x14ac:dyDescent="0.25">
      <c r="K940"/>
    </row>
    <row r="941" spans="11:11" ht="18.75" customHeight="1" x14ac:dyDescent="0.25">
      <c r="K941"/>
    </row>
    <row r="942" spans="11:11" ht="18.75" customHeight="1" x14ac:dyDescent="0.25">
      <c r="K942"/>
    </row>
    <row r="943" spans="11:11" ht="18.75" customHeight="1" x14ac:dyDescent="0.25">
      <c r="K943"/>
    </row>
    <row r="944" spans="11:11" ht="18.75" customHeight="1" x14ac:dyDescent="0.25">
      <c r="K944"/>
    </row>
    <row r="945" spans="11:11" ht="18.75" customHeight="1" x14ac:dyDescent="0.25">
      <c r="K945"/>
    </row>
    <row r="946" spans="11:11" ht="18.75" customHeight="1" x14ac:dyDescent="0.25">
      <c r="K946"/>
    </row>
    <row r="947" spans="11:11" ht="18.75" customHeight="1" x14ac:dyDescent="0.25">
      <c r="K947"/>
    </row>
    <row r="948" spans="11:11" ht="18.75" customHeight="1" x14ac:dyDescent="0.25">
      <c r="K948"/>
    </row>
    <row r="949" spans="11:11" ht="18.75" customHeight="1" x14ac:dyDescent="0.25">
      <c r="K949"/>
    </row>
    <row r="950" spans="11:11" ht="18.75" customHeight="1" x14ac:dyDescent="0.25">
      <c r="K950"/>
    </row>
    <row r="951" spans="11:11" ht="18.75" customHeight="1" x14ac:dyDescent="0.25">
      <c r="K951"/>
    </row>
    <row r="952" spans="11:11" ht="18.75" customHeight="1" x14ac:dyDescent="0.25">
      <c r="K952"/>
    </row>
    <row r="953" spans="11:11" ht="18.75" customHeight="1" x14ac:dyDescent="0.25">
      <c r="K953"/>
    </row>
    <row r="954" spans="11:11" ht="18.75" customHeight="1" x14ac:dyDescent="0.25">
      <c r="K954"/>
    </row>
    <row r="955" spans="11:11" ht="18.75" customHeight="1" x14ac:dyDescent="0.25">
      <c r="K955"/>
    </row>
    <row r="956" spans="11:11" ht="18.75" customHeight="1" x14ac:dyDescent="0.25">
      <c r="K956"/>
    </row>
    <row r="957" spans="11:11" ht="18.75" customHeight="1" x14ac:dyDescent="0.25">
      <c r="K957"/>
    </row>
    <row r="958" spans="11:11" ht="18.75" customHeight="1" x14ac:dyDescent="0.25">
      <c r="K958"/>
    </row>
    <row r="959" spans="11:11" ht="18.75" customHeight="1" x14ac:dyDescent="0.25">
      <c r="K959"/>
    </row>
    <row r="960" spans="11:11" ht="18.75" customHeight="1" x14ac:dyDescent="0.25">
      <c r="K960"/>
    </row>
    <row r="961" spans="11:11" ht="18.75" customHeight="1" x14ac:dyDescent="0.25">
      <c r="K961"/>
    </row>
    <row r="962" spans="11:11" ht="18.75" customHeight="1" x14ac:dyDescent="0.25">
      <c r="K962"/>
    </row>
    <row r="963" spans="11:11" ht="18.75" customHeight="1" x14ac:dyDescent="0.25">
      <c r="K963"/>
    </row>
    <row r="964" spans="11:11" ht="18.75" customHeight="1" x14ac:dyDescent="0.25">
      <c r="K964"/>
    </row>
    <row r="965" spans="11:11" ht="18.75" customHeight="1" x14ac:dyDescent="0.25">
      <c r="K965"/>
    </row>
    <row r="966" spans="11:11" ht="18.75" customHeight="1" x14ac:dyDescent="0.25">
      <c r="K966"/>
    </row>
    <row r="967" spans="11:11" ht="18.75" customHeight="1" x14ac:dyDescent="0.25">
      <c r="K967"/>
    </row>
    <row r="968" spans="11:11" ht="18.75" customHeight="1" x14ac:dyDescent="0.25">
      <c r="K968"/>
    </row>
    <row r="969" spans="11:11" ht="18.75" customHeight="1" x14ac:dyDescent="0.25">
      <c r="K969"/>
    </row>
    <row r="970" spans="11:11" ht="18.75" customHeight="1" x14ac:dyDescent="0.25">
      <c r="K970"/>
    </row>
    <row r="971" spans="11:11" ht="18.75" customHeight="1" x14ac:dyDescent="0.25">
      <c r="K971"/>
    </row>
    <row r="972" spans="11:11" ht="18.75" customHeight="1" x14ac:dyDescent="0.25">
      <c r="K972"/>
    </row>
    <row r="973" spans="11:11" ht="18.75" customHeight="1" x14ac:dyDescent="0.25">
      <c r="K973"/>
    </row>
    <row r="974" spans="11:11" ht="18.75" customHeight="1" x14ac:dyDescent="0.25">
      <c r="K974"/>
    </row>
    <row r="975" spans="11:11" ht="18.75" customHeight="1" x14ac:dyDescent="0.25">
      <c r="K975"/>
    </row>
    <row r="976" spans="11:11" ht="18.75" customHeight="1" x14ac:dyDescent="0.25">
      <c r="K976"/>
    </row>
    <row r="977" spans="11:11" ht="18.75" customHeight="1" x14ac:dyDescent="0.25">
      <c r="K977"/>
    </row>
    <row r="978" spans="11:11" ht="18.75" customHeight="1" x14ac:dyDescent="0.25">
      <c r="K978"/>
    </row>
    <row r="979" spans="11:11" ht="18.75" customHeight="1" x14ac:dyDescent="0.25">
      <c r="K979"/>
    </row>
    <row r="980" spans="11:11" ht="18.75" customHeight="1" x14ac:dyDescent="0.25">
      <c r="K980"/>
    </row>
    <row r="981" spans="11:11" ht="18.75" customHeight="1" x14ac:dyDescent="0.25">
      <c r="K981"/>
    </row>
    <row r="982" spans="11:11" ht="18.75" customHeight="1" x14ac:dyDescent="0.25">
      <c r="K982"/>
    </row>
    <row r="983" spans="11:11" ht="18.75" customHeight="1" x14ac:dyDescent="0.25">
      <c r="K983"/>
    </row>
    <row r="984" spans="11:11" ht="18.75" customHeight="1" x14ac:dyDescent="0.25">
      <c r="K984"/>
    </row>
    <row r="985" spans="11:11" ht="18.75" customHeight="1" x14ac:dyDescent="0.25">
      <c r="K985"/>
    </row>
    <row r="986" spans="11:11" ht="18.75" customHeight="1" x14ac:dyDescent="0.25">
      <c r="K986"/>
    </row>
    <row r="987" spans="11:11" ht="18.75" customHeight="1" x14ac:dyDescent="0.25">
      <c r="K987"/>
    </row>
    <row r="988" spans="11:11" ht="18.75" customHeight="1" x14ac:dyDescent="0.25">
      <c r="K988"/>
    </row>
    <row r="989" spans="11:11" ht="18.75" customHeight="1" x14ac:dyDescent="0.25">
      <c r="K989"/>
    </row>
    <row r="990" spans="11:11" ht="18.75" customHeight="1" x14ac:dyDescent="0.25">
      <c r="K990"/>
    </row>
    <row r="991" spans="11:11" ht="18.75" customHeight="1" x14ac:dyDescent="0.25">
      <c r="K991"/>
    </row>
    <row r="992" spans="11:11" ht="18.75" customHeight="1" x14ac:dyDescent="0.25">
      <c r="K992"/>
    </row>
    <row r="993" spans="11:11" ht="18.75" customHeight="1" x14ac:dyDescent="0.25">
      <c r="K993"/>
    </row>
    <row r="994" spans="11:11" ht="18.75" customHeight="1" x14ac:dyDescent="0.25">
      <c r="K994"/>
    </row>
    <row r="995" spans="11:11" ht="18.75" customHeight="1" x14ac:dyDescent="0.25">
      <c r="K995"/>
    </row>
    <row r="996" spans="11:11" ht="18.75" customHeight="1" x14ac:dyDescent="0.25">
      <c r="K996"/>
    </row>
    <row r="997" spans="11:11" ht="18.75" customHeight="1" x14ac:dyDescent="0.25">
      <c r="K997"/>
    </row>
    <row r="998" spans="11:11" ht="18.75" customHeight="1" x14ac:dyDescent="0.25">
      <c r="K998"/>
    </row>
    <row r="999" spans="11:11" ht="18.75" customHeight="1" x14ac:dyDescent="0.25">
      <c r="K999"/>
    </row>
    <row r="1000" spans="11:11" ht="18.75" customHeight="1" x14ac:dyDescent="0.25">
      <c r="K1000"/>
    </row>
    <row r="1001" spans="11:11" ht="18.75" customHeight="1" x14ac:dyDescent="0.25">
      <c r="K1001"/>
    </row>
    <row r="1002" spans="11:11" ht="18.75" customHeight="1" x14ac:dyDescent="0.25">
      <c r="K1002"/>
    </row>
    <row r="1003" spans="11:11" ht="18.75" customHeight="1" x14ac:dyDescent="0.25">
      <c r="K1003"/>
    </row>
    <row r="1004" spans="11:11" ht="18.75" customHeight="1" x14ac:dyDescent="0.25">
      <c r="K1004"/>
    </row>
    <row r="1005" spans="11:11" ht="18.75" customHeight="1" x14ac:dyDescent="0.25">
      <c r="K1005"/>
    </row>
    <row r="1006" spans="11:11" ht="18.75" customHeight="1" x14ac:dyDescent="0.25">
      <c r="K1006"/>
    </row>
    <row r="1007" spans="11:11" ht="18.75" customHeight="1" x14ac:dyDescent="0.25">
      <c r="K1007"/>
    </row>
    <row r="1008" spans="11:11" ht="18.75" customHeight="1" x14ac:dyDescent="0.25">
      <c r="K1008"/>
    </row>
    <row r="1009" spans="11:11" ht="18.75" customHeight="1" x14ac:dyDescent="0.25">
      <c r="K1009"/>
    </row>
    <row r="1010" spans="11:11" ht="18.75" customHeight="1" x14ac:dyDescent="0.25">
      <c r="K1010"/>
    </row>
    <row r="1011" spans="11:11" ht="18.75" customHeight="1" x14ac:dyDescent="0.25">
      <c r="K1011"/>
    </row>
    <row r="1012" spans="11:11" ht="18.75" customHeight="1" x14ac:dyDescent="0.25">
      <c r="K1012"/>
    </row>
    <row r="1013" spans="11:11" ht="18.75" customHeight="1" x14ac:dyDescent="0.25">
      <c r="K1013"/>
    </row>
    <row r="1014" spans="11:11" ht="18.75" customHeight="1" x14ac:dyDescent="0.25">
      <c r="K1014"/>
    </row>
    <row r="1015" spans="11:11" ht="18.75" customHeight="1" x14ac:dyDescent="0.25">
      <c r="K1015"/>
    </row>
    <row r="1016" spans="11:11" ht="18.75" customHeight="1" x14ac:dyDescent="0.25">
      <c r="K1016"/>
    </row>
    <row r="1017" spans="11:11" ht="18.75" customHeight="1" x14ac:dyDescent="0.25">
      <c r="K1017"/>
    </row>
    <row r="1018" spans="11:11" ht="18.75" customHeight="1" x14ac:dyDescent="0.25">
      <c r="K1018"/>
    </row>
    <row r="1019" spans="11:11" ht="18.75" customHeight="1" x14ac:dyDescent="0.25">
      <c r="K1019"/>
    </row>
    <row r="1020" spans="11:11" ht="18.75" customHeight="1" x14ac:dyDescent="0.25">
      <c r="K1020"/>
    </row>
    <row r="1021" spans="11:11" ht="18.75" customHeight="1" x14ac:dyDescent="0.25">
      <c r="K1021"/>
    </row>
    <row r="1022" spans="11:11" ht="18.75" customHeight="1" x14ac:dyDescent="0.25">
      <c r="K1022"/>
    </row>
    <row r="1023" spans="11:11" ht="18.75" customHeight="1" x14ac:dyDescent="0.25">
      <c r="K1023"/>
    </row>
    <row r="1024" spans="11:11" ht="18.75" customHeight="1" x14ac:dyDescent="0.25">
      <c r="K1024"/>
    </row>
    <row r="1025" spans="11:11" ht="18.75" customHeight="1" x14ac:dyDescent="0.25">
      <c r="K1025"/>
    </row>
    <row r="1026" spans="11:11" ht="18.75" customHeight="1" x14ac:dyDescent="0.25">
      <c r="K1026"/>
    </row>
    <row r="1027" spans="11:11" ht="18.75" customHeight="1" x14ac:dyDescent="0.25">
      <c r="K1027"/>
    </row>
    <row r="1028" spans="11:11" ht="18.75" customHeight="1" x14ac:dyDescent="0.25">
      <c r="K1028"/>
    </row>
    <row r="1029" spans="11:11" ht="18.75" customHeight="1" x14ac:dyDescent="0.25">
      <c r="K1029"/>
    </row>
    <row r="1030" spans="11:11" ht="18.75" customHeight="1" x14ac:dyDescent="0.25">
      <c r="K1030"/>
    </row>
    <row r="1031" spans="11:11" ht="18.75" customHeight="1" x14ac:dyDescent="0.25">
      <c r="K1031"/>
    </row>
    <row r="1032" spans="11:11" ht="18.75" customHeight="1" x14ac:dyDescent="0.25">
      <c r="K1032"/>
    </row>
    <row r="1033" spans="11:11" ht="18.75" customHeight="1" x14ac:dyDescent="0.25">
      <c r="K1033"/>
    </row>
    <row r="1034" spans="11:11" ht="18.75" customHeight="1" x14ac:dyDescent="0.25">
      <c r="K1034"/>
    </row>
    <row r="1035" spans="11:11" ht="18.75" customHeight="1" x14ac:dyDescent="0.25">
      <c r="K1035"/>
    </row>
    <row r="1036" spans="11:11" ht="18.75" customHeight="1" x14ac:dyDescent="0.25">
      <c r="K1036"/>
    </row>
    <row r="1037" spans="11:11" ht="18.75" customHeight="1" x14ac:dyDescent="0.25">
      <c r="K1037"/>
    </row>
    <row r="1038" spans="11:11" ht="18.75" customHeight="1" x14ac:dyDescent="0.25">
      <c r="K1038"/>
    </row>
    <row r="1039" spans="11:11" ht="18.75" customHeight="1" x14ac:dyDescent="0.25">
      <c r="K1039"/>
    </row>
    <row r="1040" spans="11:11" ht="18.75" customHeight="1" x14ac:dyDescent="0.25">
      <c r="K1040"/>
    </row>
    <row r="1041" spans="11:11" ht="18.75" customHeight="1" x14ac:dyDescent="0.25">
      <c r="K1041"/>
    </row>
    <row r="1042" spans="11:11" ht="18.75" customHeight="1" x14ac:dyDescent="0.25">
      <c r="K1042"/>
    </row>
    <row r="1043" spans="11:11" ht="18.75" customHeight="1" x14ac:dyDescent="0.25">
      <c r="K1043"/>
    </row>
    <row r="1044" spans="11:11" ht="18.75" customHeight="1" x14ac:dyDescent="0.25">
      <c r="K1044"/>
    </row>
    <row r="1045" spans="11:11" ht="18.75" customHeight="1" x14ac:dyDescent="0.25">
      <c r="K1045"/>
    </row>
    <row r="1046" spans="11:11" ht="18.75" customHeight="1" x14ac:dyDescent="0.25">
      <c r="K1046"/>
    </row>
    <row r="1047" spans="11:11" ht="18.75" customHeight="1" x14ac:dyDescent="0.25">
      <c r="K1047"/>
    </row>
    <row r="1048" spans="11:11" ht="18.75" customHeight="1" x14ac:dyDescent="0.25">
      <c r="K1048"/>
    </row>
    <row r="1049" spans="11:11" ht="18.75" customHeight="1" x14ac:dyDescent="0.25">
      <c r="K1049"/>
    </row>
    <row r="1050" spans="11:11" ht="18.75" customHeight="1" x14ac:dyDescent="0.25">
      <c r="K1050"/>
    </row>
    <row r="1051" spans="11:11" ht="18.75" customHeight="1" x14ac:dyDescent="0.25">
      <c r="K1051"/>
    </row>
    <row r="1052" spans="11:11" ht="18.75" customHeight="1" x14ac:dyDescent="0.25">
      <c r="K1052"/>
    </row>
    <row r="1053" spans="11:11" ht="18.75" customHeight="1" x14ac:dyDescent="0.25">
      <c r="K1053"/>
    </row>
    <row r="1054" spans="11:11" ht="18.75" customHeight="1" x14ac:dyDescent="0.25">
      <c r="K1054"/>
    </row>
    <row r="1055" spans="11:11" ht="18.75" customHeight="1" x14ac:dyDescent="0.25">
      <c r="K1055"/>
    </row>
    <row r="1056" spans="11:11" ht="18.75" customHeight="1" x14ac:dyDescent="0.25">
      <c r="K1056"/>
    </row>
    <row r="1057" spans="11:11" ht="18.75" customHeight="1" x14ac:dyDescent="0.25">
      <c r="K1057"/>
    </row>
    <row r="1058" spans="11:11" ht="18.75" customHeight="1" x14ac:dyDescent="0.25">
      <c r="K1058"/>
    </row>
    <row r="1059" spans="11:11" ht="18.75" customHeight="1" x14ac:dyDescent="0.25">
      <c r="K1059"/>
    </row>
    <row r="1060" spans="11:11" ht="18.75" customHeight="1" x14ac:dyDescent="0.25">
      <c r="K1060"/>
    </row>
    <row r="1061" spans="11:11" ht="18.75" customHeight="1" x14ac:dyDescent="0.25">
      <c r="K1061"/>
    </row>
    <row r="1062" spans="11:11" ht="18.75" customHeight="1" x14ac:dyDescent="0.25">
      <c r="K1062"/>
    </row>
    <row r="1063" spans="11:11" ht="18.75" customHeight="1" x14ac:dyDescent="0.25">
      <c r="K1063"/>
    </row>
    <row r="1064" spans="11:11" ht="18.75" customHeight="1" x14ac:dyDescent="0.25">
      <c r="K1064"/>
    </row>
    <row r="1065" spans="11:11" ht="18.75" customHeight="1" x14ac:dyDescent="0.25">
      <c r="K1065"/>
    </row>
    <row r="1066" spans="11:11" ht="18.75" customHeight="1" x14ac:dyDescent="0.25">
      <c r="K1066"/>
    </row>
    <row r="1067" spans="11:11" ht="18.75" customHeight="1" x14ac:dyDescent="0.25">
      <c r="K1067"/>
    </row>
    <row r="1068" spans="11:11" ht="18.75" customHeight="1" x14ac:dyDescent="0.25">
      <c r="K1068"/>
    </row>
    <row r="1069" spans="11:11" ht="18.75" customHeight="1" x14ac:dyDescent="0.25">
      <c r="K1069"/>
    </row>
    <row r="1070" spans="11:11" ht="18.75" customHeight="1" x14ac:dyDescent="0.25">
      <c r="K1070"/>
    </row>
    <row r="1071" spans="11:11" ht="18.75" customHeight="1" x14ac:dyDescent="0.25">
      <c r="K1071"/>
    </row>
    <row r="1072" spans="11:11" ht="18.75" customHeight="1" x14ac:dyDescent="0.25">
      <c r="K1072"/>
    </row>
    <row r="1073" spans="11:11" ht="18.75" customHeight="1" x14ac:dyDescent="0.25">
      <c r="K1073"/>
    </row>
    <row r="1074" spans="11:11" ht="18.75" customHeight="1" x14ac:dyDescent="0.25">
      <c r="K1074"/>
    </row>
    <row r="1075" spans="11:11" ht="18.75" customHeight="1" x14ac:dyDescent="0.25">
      <c r="K1075"/>
    </row>
    <row r="1076" spans="11:11" ht="18.75" customHeight="1" x14ac:dyDescent="0.25">
      <c r="K1076"/>
    </row>
    <row r="1077" spans="11:11" ht="18.75" customHeight="1" x14ac:dyDescent="0.25">
      <c r="K1077"/>
    </row>
    <row r="1078" spans="11:11" ht="18.75" customHeight="1" x14ac:dyDescent="0.25">
      <c r="K1078"/>
    </row>
    <row r="1079" spans="11:11" ht="18.75" customHeight="1" x14ac:dyDescent="0.25">
      <c r="K1079"/>
    </row>
    <row r="1080" spans="11:11" ht="18.75" customHeight="1" x14ac:dyDescent="0.25">
      <c r="K1080"/>
    </row>
    <row r="1081" spans="11:11" ht="18.75" customHeight="1" x14ac:dyDescent="0.25">
      <c r="K1081"/>
    </row>
    <row r="1082" spans="11:11" ht="18.75" customHeight="1" x14ac:dyDescent="0.25">
      <c r="K1082"/>
    </row>
    <row r="1083" spans="11:11" ht="18.75" customHeight="1" x14ac:dyDescent="0.25">
      <c r="K1083"/>
    </row>
    <row r="1084" spans="11:11" ht="18.75" customHeight="1" x14ac:dyDescent="0.25">
      <c r="K1084"/>
    </row>
    <row r="1085" spans="11:11" ht="18.75" customHeight="1" x14ac:dyDescent="0.25">
      <c r="K1085"/>
    </row>
    <row r="1086" spans="11:11" ht="18.75" customHeight="1" x14ac:dyDescent="0.25">
      <c r="K1086"/>
    </row>
    <row r="1087" spans="11:11" ht="18.75" customHeight="1" x14ac:dyDescent="0.25">
      <c r="K1087"/>
    </row>
    <row r="1088" spans="11:11" ht="18.75" customHeight="1" x14ac:dyDescent="0.25">
      <c r="K1088"/>
    </row>
    <row r="1089" spans="11:11" ht="18.75" customHeight="1" x14ac:dyDescent="0.25">
      <c r="K1089"/>
    </row>
    <row r="1090" spans="11:11" ht="18.75" customHeight="1" x14ac:dyDescent="0.25">
      <c r="K1090"/>
    </row>
    <row r="1091" spans="11:11" ht="18.75" customHeight="1" x14ac:dyDescent="0.25">
      <c r="K1091"/>
    </row>
    <row r="1092" spans="11:11" ht="18.75" customHeight="1" x14ac:dyDescent="0.25">
      <c r="K1092"/>
    </row>
    <row r="1093" spans="11:11" ht="18.75" customHeight="1" x14ac:dyDescent="0.25">
      <c r="K1093"/>
    </row>
    <row r="1094" spans="11:11" ht="18.75" customHeight="1" x14ac:dyDescent="0.25">
      <c r="K1094"/>
    </row>
    <row r="1095" spans="11:11" ht="18.75" customHeight="1" x14ac:dyDescent="0.25">
      <c r="K1095"/>
    </row>
    <row r="1096" spans="11:11" ht="18.75" customHeight="1" x14ac:dyDescent="0.25">
      <c r="K1096"/>
    </row>
    <row r="1097" spans="11:11" ht="18.75" customHeight="1" x14ac:dyDescent="0.25">
      <c r="K1097"/>
    </row>
    <row r="1098" spans="11:11" ht="18.75" customHeight="1" x14ac:dyDescent="0.25">
      <c r="K1098"/>
    </row>
    <row r="1099" spans="11:11" ht="18.75" customHeight="1" x14ac:dyDescent="0.25">
      <c r="K1099"/>
    </row>
    <row r="1100" spans="11:11" ht="18.75" customHeight="1" x14ac:dyDescent="0.25">
      <c r="K1100"/>
    </row>
    <row r="1101" spans="11:11" ht="18.75" customHeight="1" x14ac:dyDescent="0.25">
      <c r="K1101"/>
    </row>
    <row r="1102" spans="11:11" ht="18.75" customHeight="1" x14ac:dyDescent="0.25">
      <c r="K1102"/>
    </row>
    <row r="1103" spans="11:11" ht="18.75" customHeight="1" x14ac:dyDescent="0.25">
      <c r="K1103"/>
    </row>
    <row r="1104" spans="11:11" ht="18.75" customHeight="1" x14ac:dyDescent="0.25">
      <c r="K1104"/>
    </row>
    <row r="1105" spans="11:11" ht="18.75" customHeight="1" x14ac:dyDescent="0.25">
      <c r="K1105"/>
    </row>
    <row r="1106" spans="11:11" ht="18.75" customHeight="1" x14ac:dyDescent="0.25">
      <c r="K1106"/>
    </row>
    <row r="1107" spans="11:11" ht="18.75" customHeight="1" x14ac:dyDescent="0.25">
      <c r="K1107"/>
    </row>
    <row r="1108" spans="11:11" ht="18.75" customHeight="1" x14ac:dyDescent="0.25">
      <c r="K1108"/>
    </row>
    <row r="1109" spans="11:11" ht="18.75" customHeight="1" x14ac:dyDescent="0.25">
      <c r="K1109"/>
    </row>
    <row r="1110" spans="11:11" ht="18.75" customHeight="1" x14ac:dyDescent="0.25">
      <c r="K1110"/>
    </row>
    <row r="1111" spans="11:11" ht="18.75" customHeight="1" x14ac:dyDescent="0.25">
      <c r="K1111"/>
    </row>
    <row r="1112" spans="11:11" ht="18.75" customHeight="1" x14ac:dyDescent="0.25">
      <c r="K1112"/>
    </row>
    <row r="1113" spans="11:11" ht="18.75" customHeight="1" x14ac:dyDescent="0.25">
      <c r="K1113"/>
    </row>
    <row r="1114" spans="11:11" ht="18.75" customHeight="1" x14ac:dyDescent="0.25">
      <c r="K1114"/>
    </row>
    <row r="1115" spans="11:11" ht="18.75" customHeight="1" x14ac:dyDescent="0.25">
      <c r="K1115"/>
    </row>
    <row r="1116" spans="11:11" ht="18.75" customHeight="1" x14ac:dyDescent="0.25">
      <c r="K1116"/>
    </row>
    <row r="1117" spans="11:11" ht="18.75" customHeight="1" x14ac:dyDescent="0.25">
      <c r="K1117"/>
    </row>
    <row r="1118" spans="11:11" ht="18.75" customHeight="1" x14ac:dyDescent="0.25">
      <c r="K1118"/>
    </row>
    <row r="1119" spans="11:11" ht="18.75" customHeight="1" x14ac:dyDescent="0.25">
      <c r="K1119"/>
    </row>
    <row r="1120" spans="11:11" ht="18.75" customHeight="1" x14ac:dyDescent="0.25">
      <c r="K1120"/>
    </row>
    <row r="1121" spans="11:11" ht="18.75" customHeight="1" x14ac:dyDescent="0.25">
      <c r="K1121"/>
    </row>
    <row r="1122" spans="11:11" ht="18.75" customHeight="1" x14ac:dyDescent="0.25">
      <c r="K1122"/>
    </row>
    <row r="1123" spans="11:11" ht="18.75" customHeight="1" x14ac:dyDescent="0.25">
      <c r="K1123"/>
    </row>
    <row r="1124" spans="11:11" ht="18.75" customHeight="1" x14ac:dyDescent="0.25">
      <c r="K1124"/>
    </row>
    <row r="1125" spans="11:11" ht="18.75" customHeight="1" x14ac:dyDescent="0.25">
      <c r="K1125"/>
    </row>
    <row r="1126" spans="11:11" ht="18.75" customHeight="1" x14ac:dyDescent="0.25">
      <c r="K1126"/>
    </row>
    <row r="1127" spans="11:11" ht="18.75" customHeight="1" x14ac:dyDescent="0.25">
      <c r="K1127"/>
    </row>
    <row r="1128" spans="11:11" ht="18.75" customHeight="1" x14ac:dyDescent="0.25">
      <c r="K1128"/>
    </row>
    <row r="1129" spans="11:11" ht="18.75" customHeight="1" x14ac:dyDescent="0.25">
      <c r="K1129"/>
    </row>
    <row r="1130" spans="11:11" ht="18.75" customHeight="1" x14ac:dyDescent="0.25">
      <c r="K1130"/>
    </row>
    <row r="1131" spans="11:11" ht="18.75" customHeight="1" x14ac:dyDescent="0.25">
      <c r="K1131"/>
    </row>
    <row r="1132" spans="11:11" ht="18.75" customHeight="1" x14ac:dyDescent="0.25">
      <c r="K1132"/>
    </row>
    <row r="1133" spans="11:11" ht="18.75" customHeight="1" x14ac:dyDescent="0.25">
      <c r="K1133"/>
    </row>
    <row r="1134" spans="11:11" ht="18.75" customHeight="1" x14ac:dyDescent="0.25">
      <c r="K1134"/>
    </row>
    <row r="1135" spans="11:11" ht="18.75" customHeight="1" x14ac:dyDescent="0.25">
      <c r="K1135"/>
    </row>
    <row r="1136" spans="11:11" ht="18.75" customHeight="1" x14ac:dyDescent="0.25">
      <c r="K1136"/>
    </row>
    <row r="1137" spans="11:11" ht="18.75" customHeight="1" x14ac:dyDescent="0.25">
      <c r="K1137"/>
    </row>
    <row r="1138" spans="11:11" ht="18.75" customHeight="1" x14ac:dyDescent="0.25">
      <c r="K1138"/>
    </row>
    <row r="1139" spans="11:11" ht="18.75" customHeight="1" x14ac:dyDescent="0.25">
      <c r="K1139"/>
    </row>
    <row r="1140" spans="11:11" ht="18.75" customHeight="1" x14ac:dyDescent="0.25">
      <c r="K1140"/>
    </row>
    <row r="1141" spans="11:11" ht="18.75" customHeight="1" x14ac:dyDescent="0.25">
      <c r="K1141"/>
    </row>
    <row r="1142" spans="11:11" ht="18.75" customHeight="1" x14ac:dyDescent="0.25">
      <c r="K1142"/>
    </row>
    <row r="1143" spans="11:11" ht="18.75" customHeight="1" x14ac:dyDescent="0.25">
      <c r="K1143"/>
    </row>
    <row r="1144" spans="11:11" ht="18.75" customHeight="1" x14ac:dyDescent="0.25">
      <c r="K1144"/>
    </row>
    <row r="1145" spans="11:11" ht="18.75" customHeight="1" x14ac:dyDescent="0.25">
      <c r="K1145"/>
    </row>
    <row r="1146" spans="11:11" ht="18.75" customHeight="1" x14ac:dyDescent="0.25">
      <c r="K1146"/>
    </row>
    <row r="1147" spans="11:11" ht="18.75" customHeight="1" x14ac:dyDescent="0.25">
      <c r="K1147"/>
    </row>
    <row r="1148" spans="11:11" ht="18.75" customHeight="1" x14ac:dyDescent="0.25">
      <c r="K1148"/>
    </row>
    <row r="1149" spans="11:11" ht="18.75" customHeight="1" x14ac:dyDescent="0.25">
      <c r="K1149"/>
    </row>
    <row r="1150" spans="11:11" ht="18.75" customHeight="1" x14ac:dyDescent="0.25">
      <c r="K1150"/>
    </row>
    <row r="1151" spans="11:11" ht="18.75" customHeight="1" x14ac:dyDescent="0.25">
      <c r="K1151"/>
    </row>
    <row r="1152" spans="11:11" ht="18.75" customHeight="1" x14ac:dyDescent="0.25">
      <c r="K1152"/>
    </row>
    <row r="1153" spans="11:11" ht="18.75" customHeight="1" x14ac:dyDescent="0.25">
      <c r="K1153"/>
    </row>
    <row r="1154" spans="11:11" ht="18.75" customHeight="1" x14ac:dyDescent="0.25">
      <c r="K1154"/>
    </row>
    <row r="1155" spans="11:11" ht="18.75" customHeight="1" x14ac:dyDescent="0.25">
      <c r="K1155"/>
    </row>
    <row r="1156" spans="11:11" ht="18.75" customHeight="1" x14ac:dyDescent="0.25">
      <c r="K1156"/>
    </row>
    <row r="1157" spans="11:11" ht="18.75" customHeight="1" x14ac:dyDescent="0.25">
      <c r="K1157"/>
    </row>
    <row r="1158" spans="11:11" ht="18.75" customHeight="1" x14ac:dyDescent="0.25">
      <c r="K1158"/>
    </row>
    <row r="1159" spans="11:11" ht="18.75" customHeight="1" x14ac:dyDescent="0.25">
      <c r="K1159"/>
    </row>
    <row r="1160" spans="11:11" ht="18.75" customHeight="1" x14ac:dyDescent="0.25">
      <c r="K1160"/>
    </row>
    <row r="1161" spans="11:11" ht="18.75" customHeight="1" x14ac:dyDescent="0.25">
      <c r="K1161"/>
    </row>
    <row r="1162" spans="11:11" ht="18.75" customHeight="1" x14ac:dyDescent="0.25">
      <c r="K1162"/>
    </row>
    <row r="1163" spans="11:11" ht="18.75" customHeight="1" x14ac:dyDescent="0.25">
      <c r="K1163"/>
    </row>
    <row r="1164" spans="11:11" ht="18.75" customHeight="1" x14ac:dyDescent="0.25">
      <c r="K1164"/>
    </row>
    <row r="1165" spans="11:11" ht="18.75" customHeight="1" x14ac:dyDescent="0.25">
      <c r="K1165"/>
    </row>
    <row r="1166" spans="11:11" ht="18.75" customHeight="1" x14ac:dyDescent="0.25">
      <c r="K1166"/>
    </row>
    <row r="1167" spans="11:11" ht="18.75" customHeight="1" x14ac:dyDescent="0.25">
      <c r="K1167"/>
    </row>
    <row r="1168" spans="11:11" ht="18.75" customHeight="1" x14ac:dyDescent="0.25">
      <c r="K1168"/>
    </row>
    <row r="1169" spans="11:11" ht="18.75" customHeight="1" x14ac:dyDescent="0.25">
      <c r="K1169"/>
    </row>
    <row r="1170" spans="11:11" ht="18.75" customHeight="1" x14ac:dyDescent="0.25">
      <c r="K1170"/>
    </row>
    <row r="1171" spans="11:11" ht="18.75" customHeight="1" x14ac:dyDescent="0.25">
      <c r="K1171"/>
    </row>
    <row r="1172" spans="11:11" ht="18.75" customHeight="1" x14ac:dyDescent="0.25">
      <c r="K1172"/>
    </row>
    <row r="1173" spans="11:11" ht="18.75" customHeight="1" x14ac:dyDescent="0.25">
      <c r="K1173"/>
    </row>
    <row r="1174" spans="11:11" ht="18.75" customHeight="1" x14ac:dyDescent="0.25">
      <c r="K1174"/>
    </row>
    <row r="1175" spans="11:11" ht="18.75" customHeight="1" x14ac:dyDescent="0.25">
      <c r="K1175"/>
    </row>
    <row r="1176" spans="11:11" ht="18.75" customHeight="1" x14ac:dyDescent="0.25">
      <c r="K1176"/>
    </row>
    <row r="1177" spans="11:11" ht="18.75" customHeight="1" x14ac:dyDescent="0.25">
      <c r="K1177"/>
    </row>
    <row r="1178" spans="11:11" ht="18.75" customHeight="1" x14ac:dyDescent="0.25">
      <c r="K1178"/>
    </row>
    <row r="1179" spans="11:11" ht="18.75" customHeight="1" x14ac:dyDescent="0.25">
      <c r="K1179"/>
    </row>
    <row r="1180" spans="11:11" ht="18.75" customHeight="1" x14ac:dyDescent="0.25">
      <c r="K1180"/>
    </row>
    <row r="1181" spans="11:11" ht="18.75" customHeight="1" x14ac:dyDescent="0.25">
      <c r="K1181"/>
    </row>
    <row r="1182" spans="11:11" ht="18.75" customHeight="1" x14ac:dyDescent="0.25">
      <c r="K1182"/>
    </row>
    <row r="1183" spans="11:11" ht="18.75" customHeight="1" x14ac:dyDescent="0.25">
      <c r="K1183"/>
    </row>
    <row r="1184" spans="11:11" ht="18.75" customHeight="1" x14ac:dyDescent="0.25">
      <c r="K1184"/>
    </row>
    <row r="1185" spans="11:11" ht="18.75" customHeight="1" x14ac:dyDescent="0.25">
      <c r="K1185"/>
    </row>
    <row r="1186" spans="11:11" ht="18.75" customHeight="1" x14ac:dyDescent="0.25">
      <c r="K1186"/>
    </row>
    <row r="1187" spans="11:11" ht="18.75" customHeight="1" x14ac:dyDescent="0.25">
      <c r="K1187"/>
    </row>
    <row r="1188" spans="11:11" ht="18.75" customHeight="1" x14ac:dyDescent="0.25">
      <c r="K1188"/>
    </row>
    <row r="1189" spans="11:11" ht="18.75" customHeight="1" x14ac:dyDescent="0.25">
      <c r="K1189"/>
    </row>
    <row r="1190" spans="11:11" ht="18.75" customHeight="1" x14ac:dyDescent="0.25">
      <c r="K1190"/>
    </row>
    <row r="1191" spans="11:11" ht="18.75" customHeight="1" x14ac:dyDescent="0.25">
      <c r="K1191"/>
    </row>
    <row r="1192" spans="11:11" ht="18.75" customHeight="1" x14ac:dyDescent="0.25">
      <c r="K1192"/>
    </row>
    <row r="1193" spans="11:11" ht="18.75" customHeight="1" x14ac:dyDescent="0.25">
      <c r="K1193"/>
    </row>
    <row r="1194" spans="11:11" ht="18.75" customHeight="1" x14ac:dyDescent="0.25">
      <c r="K1194"/>
    </row>
    <row r="1195" spans="11:11" ht="18.75" customHeight="1" x14ac:dyDescent="0.25">
      <c r="K1195"/>
    </row>
    <row r="1196" spans="11:11" ht="18.75" customHeight="1" x14ac:dyDescent="0.25">
      <c r="K1196"/>
    </row>
    <row r="1197" spans="11:11" ht="18.75" customHeight="1" x14ac:dyDescent="0.25">
      <c r="K1197"/>
    </row>
    <row r="1198" spans="11:11" ht="18.75" customHeight="1" x14ac:dyDescent="0.25">
      <c r="K1198"/>
    </row>
    <row r="1199" spans="11:11" ht="18.75" customHeight="1" x14ac:dyDescent="0.25">
      <c r="K1199"/>
    </row>
    <row r="1200" spans="11:11" ht="18.75" customHeight="1" x14ac:dyDescent="0.25">
      <c r="K1200"/>
    </row>
    <row r="1201" spans="11:11" ht="18.75" customHeight="1" x14ac:dyDescent="0.25">
      <c r="K1201"/>
    </row>
    <row r="1202" spans="11:11" ht="18.75" customHeight="1" x14ac:dyDescent="0.25">
      <c r="K1202"/>
    </row>
    <row r="1203" spans="11:11" ht="18.75" customHeight="1" x14ac:dyDescent="0.25">
      <c r="K1203"/>
    </row>
    <row r="1204" spans="11:11" ht="18.75" customHeight="1" x14ac:dyDescent="0.25">
      <c r="K1204"/>
    </row>
    <row r="1205" spans="11:11" ht="18.75" customHeight="1" x14ac:dyDescent="0.25">
      <c r="K1205"/>
    </row>
    <row r="1206" spans="11:11" ht="18.75" customHeight="1" x14ac:dyDescent="0.25">
      <c r="K1206"/>
    </row>
    <row r="1207" spans="11:11" ht="18.75" customHeight="1" x14ac:dyDescent="0.25">
      <c r="K1207"/>
    </row>
    <row r="1208" spans="11:11" ht="18.75" customHeight="1" x14ac:dyDescent="0.25">
      <c r="K1208"/>
    </row>
    <row r="1209" spans="11:11" ht="18.75" customHeight="1" x14ac:dyDescent="0.25">
      <c r="K1209"/>
    </row>
    <row r="1210" spans="11:11" ht="18.75" customHeight="1" x14ac:dyDescent="0.25">
      <c r="K1210"/>
    </row>
    <row r="1211" spans="11:11" ht="18.75" customHeight="1" x14ac:dyDescent="0.25">
      <c r="K1211"/>
    </row>
    <row r="1212" spans="11:11" ht="18.75" customHeight="1" x14ac:dyDescent="0.25">
      <c r="K1212"/>
    </row>
    <row r="1213" spans="11:11" ht="18.75" customHeight="1" x14ac:dyDescent="0.25">
      <c r="K1213"/>
    </row>
    <row r="1214" spans="11:11" ht="18.75" customHeight="1" x14ac:dyDescent="0.25">
      <c r="K1214"/>
    </row>
    <row r="1215" spans="11:11" ht="18.75" customHeight="1" x14ac:dyDescent="0.25">
      <c r="K1215"/>
    </row>
    <row r="1216" spans="11:11" ht="18.75" customHeight="1" x14ac:dyDescent="0.25">
      <c r="K1216"/>
    </row>
    <row r="1217" spans="11:11" ht="18.75" customHeight="1" x14ac:dyDescent="0.25">
      <c r="K1217"/>
    </row>
    <row r="1218" spans="11:11" ht="18.75" customHeight="1" x14ac:dyDescent="0.25">
      <c r="K1218"/>
    </row>
    <row r="1219" spans="11:11" ht="18.75" customHeight="1" x14ac:dyDescent="0.25">
      <c r="K1219"/>
    </row>
    <row r="1220" spans="11:11" ht="18.75" customHeight="1" x14ac:dyDescent="0.25">
      <c r="K1220"/>
    </row>
    <row r="1221" spans="11:11" ht="18.75" customHeight="1" x14ac:dyDescent="0.25">
      <c r="K1221"/>
    </row>
    <row r="1222" spans="11:11" ht="18.75" customHeight="1" x14ac:dyDescent="0.25">
      <c r="K1222"/>
    </row>
    <row r="1223" spans="11:11" ht="18.75" customHeight="1" x14ac:dyDescent="0.25">
      <c r="K1223"/>
    </row>
    <row r="1224" spans="11:11" ht="18.75" customHeight="1" x14ac:dyDescent="0.25">
      <c r="K1224"/>
    </row>
    <row r="1225" spans="11:11" ht="18.75" customHeight="1" x14ac:dyDescent="0.25">
      <c r="K1225"/>
    </row>
    <row r="1226" spans="11:11" ht="18.75" customHeight="1" x14ac:dyDescent="0.25">
      <c r="K1226"/>
    </row>
    <row r="1227" spans="11:11" ht="18.75" customHeight="1" x14ac:dyDescent="0.25">
      <c r="K1227"/>
    </row>
    <row r="1228" spans="11:11" ht="18.75" customHeight="1" x14ac:dyDescent="0.25">
      <c r="K1228"/>
    </row>
    <row r="1229" spans="11:11" ht="18.75" customHeight="1" x14ac:dyDescent="0.25">
      <c r="K1229"/>
    </row>
    <row r="1230" spans="11:11" ht="18.75" customHeight="1" x14ac:dyDescent="0.25">
      <c r="K1230"/>
    </row>
    <row r="1231" spans="11:11" ht="18.75" customHeight="1" x14ac:dyDescent="0.25">
      <c r="K1231"/>
    </row>
    <row r="1232" spans="11:11" ht="18.75" customHeight="1" x14ac:dyDescent="0.25">
      <c r="K1232"/>
    </row>
    <row r="1233" spans="11:11" ht="18.75" customHeight="1" x14ac:dyDescent="0.25">
      <c r="K1233"/>
    </row>
    <row r="1234" spans="11:11" ht="18.75" customHeight="1" x14ac:dyDescent="0.25">
      <c r="K1234"/>
    </row>
    <row r="1235" spans="11:11" ht="18.75" customHeight="1" x14ac:dyDescent="0.25">
      <c r="K1235"/>
    </row>
    <row r="1236" spans="11:11" ht="18.75" customHeight="1" x14ac:dyDescent="0.25">
      <c r="K1236"/>
    </row>
    <row r="1237" spans="11:11" ht="18.75" customHeight="1" x14ac:dyDescent="0.25">
      <c r="K1237"/>
    </row>
    <row r="1238" spans="11:11" ht="18.75" customHeight="1" x14ac:dyDescent="0.25">
      <c r="K1238"/>
    </row>
    <row r="1239" spans="11:11" ht="18.75" customHeight="1" x14ac:dyDescent="0.25">
      <c r="K1239"/>
    </row>
    <row r="1240" spans="11:11" ht="18.75" customHeight="1" x14ac:dyDescent="0.25">
      <c r="K1240"/>
    </row>
    <row r="1241" spans="11:11" ht="18.75" customHeight="1" x14ac:dyDescent="0.25">
      <c r="K1241"/>
    </row>
    <row r="1242" spans="11:11" ht="18.75" customHeight="1" x14ac:dyDescent="0.25">
      <c r="K1242"/>
    </row>
    <row r="1243" spans="11:11" ht="18.75" customHeight="1" x14ac:dyDescent="0.25">
      <c r="K1243"/>
    </row>
    <row r="1244" spans="11:11" ht="18.75" customHeight="1" x14ac:dyDescent="0.25">
      <c r="K1244"/>
    </row>
    <row r="1245" spans="11:11" ht="18.75" customHeight="1" x14ac:dyDescent="0.25">
      <c r="K1245"/>
    </row>
    <row r="1246" spans="11:11" ht="18.75" customHeight="1" x14ac:dyDescent="0.25">
      <c r="K1246"/>
    </row>
    <row r="1247" spans="11:11" ht="18.75" customHeight="1" x14ac:dyDescent="0.25">
      <c r="K1247"/>
    </row>
    <row r="1248" spans="11:11" ht="18.75" customHeight="1" x14ac:dyDescent="0.25">
      <c r="K1248"/>
    </row>
    <row r="1249" spans="11:11" ht="18.75" customHeight="1" x14ac:dyDescent="0.25">
      <c r="K1249"/>
    </row>
    <row r="1250" spans="11:11" ht="18.75" customHeight="1" x14ac:dyDescent="0.25">
      <c r="K1250"/>
    </row>
    <row r="1251" spans="11:11" ht="18.75" customHeight="1" x14ac:dyDescent="0.25">
      <c r="K1251"/>
    </row>
    <row r="1252" spans="11:11" ht="18.75" customHeight="1" x14ac:dyDescent="0.25">
      <c r="K1252"/>
    </row>
    <row r="1253" spans="11:11" ht="18.75" customHeight="1" x14ac:dyDescent="0.25">
      <c r="K1253"/>
    </row>
    <row r="1254" spans="11:11" ht="18.75" customHeight="1" x14ac:dyDescent="0.25">
      <c r="K1254"/>
    </row>
    <row r="1255" spans="11:11" ht="18.75" customHeight="1" x14ac:dyDescent="0.25">
      <c r="K1255"/>
    </row>
    <row r="1256" spans="11:11" ht="18.75" customHeight="1" x14ac:dyDescent="0.25">
      <c r="K1256"/>
    </row>
    <row r="1257" spans="11:11" ht="18.75" customHeight="1" x14ac:dyDescent="0.25">
      <c r="K1257"/>
    </row>
    <row r="1258" spans="11:11" ht="18.75" customHeight="1" x14ac:dyDescent="0.25">
      <c r="K1258"/>
    </row>
    <row r="1259" spans="11:11" ht="18.75" customHeight="1" x14ac:dyDescent="0.25">
      <c r="K1259"/>
    </row>
    <row r="1260" spans="11:11" ht="18.75" customHeight="1" x14ac:dyDescent="0.25">
      <c r="K1260"/>
    </row>
    <row r="1261" spans="11:11" ht="18.75" customHeight="1" x14ac:dyDescent="0.25">
      <c r="K1261"/>
    </row>
    <row r="1262" spans="11:11" ht="18.75" customHeight="1" x14ac:dyDescent="0.25">
      <c r="K1262"/>
    </row>
    <row r="1263" spans="11:11" ht="18.75" customHeight="1" x14ac:dyDescent="0.25">
      <c r="K1263"/>
    </row>
    <row r="1264" spans="11:11" ht="18.75" customHeight="1" x14ac:dyDescent="0.25">
      <c r="K1264"/>
    </row>
    <row r="1265" spans="11:11" ht="18.75" customHeight="1" x14ac:dyDescent="0.25">
      <c r="K1265"/>
    </row>
    <row r="1266" spans="11:11" ht="18.75" customHeight="1" x14ac:dyDescent="0.25">
      <c r="K1266"/>
    </row>
    <row r="1267" spans="11:11" ht="18.75" customHeight="1" x14ac:dyDescent="0.25">
      <c r="K1267"/>
    </row>
    <row r="1268" spans="11:11" ht="18.75" customHeight="1" x14ac:dyDescent="0.25">
      <c r="K1268"/>
    </row>
    <row r="1269" spans="11:11" ht="18.75" customHeight="1" x14ac:dyDescent="0.25">
      <c r="K1269"/>
    </row>
    <row r="1270" spans="11:11" ht="18.75" customHeight="1" x14ac:dyDescent="0.25">
      <c r="K1270"/>
    </row>
    <row r="1271" spans="11:11" ht="18.75" customHeight="1" x14ac:dyDescent="0.25">
      <c r="K1271"/>
    </row>
    <row r="1272" spans="11:11" ht="18.75" customHeight="1" x14ac:dyDescent="0.25">
      <c r="K1272"/>
    </row>
    <row r="1273" spans="11:11" ht="18.75" customHeight="1" x14ac:dyDescent="0.25">
      <c r="K1273"/>
    </row>
    <row r="1274" spans="11:11" ht="18.75" customHeight="1" x14ac:dyDescent="0.25">
      <c r="K1274"/>
    </row>
    <row r="1275" spans="11:11" ht="18.75" customHeight="1" x14ac:dyDescent="0.25">
      <c r="K1275"/>
    </row>
    <row r="1276" spans="11:11" ht="18.75" customHeight="1" x14ac:dyDescent="0.25">
      <c r="K1276"/>
    </row>
    <row r="1277" spans="11:11" ht="18.75" customHeight="1" x14ac:dyDescent="0.25">
      <c r="K1277"/>
    </row>
    <row r="1278" spans="11:11" ht="18.75" customHeight="1" x14ac:dyDescent="0.25">
      <c r="K1278"/>
    </row>
    <row r="1279" spans="11:11" ht="18.75" customHeight="1" x14ac:dyDescent="0.25">
      <c r="K1279"/>
    </row>
    <row r="1280" spans="11:11" ht="18.75" customHeight="1" x14ac:dyDescent="0.25">
      <c r="K1280"/>
    </row>
    <row r="1281" spans="11:11" ht="18.75" customHeight="1" x14ac:dyDescent="0.25">
      <c r="K1281"/>
    </row>
    <row r="1282" spans="11:11" ht="18.75" customHeight="1" x14ac:dyDescent="0.25">
      <c r="K1282"/>
    </row>
    <row r="1283" spans="11:11" ht="18.75" customHeight="1" x14ac:dyDescent="0.25">
      <c r="K1283"/>
    </row>
    <row r="1284" spans="11:11" ht="18.75" customHeight="1" x14ac:dyDescent="0.25">
      <c r="K1284"/>
    </row>
    <row r="1285" spans="11:11" ht="18.75" customHeight="1" x14ac:dyDescent="0.25">
      <c r="K1285"/>
    </row>
    <row r="1286" spans="11:11" ht="18.75" customHeight="1" x14ac:dyDescent="0.25">
      <c r="K1286"/>
    </row>
    <row r="1287" spans="11:11" ht="18.75" customHeight="1" x14ac:dyDescent="0.25">
      <c r="K1287"/>
    </row>
    <row r="1288" spans="11:11" ht="18.75" customHeight="1" x14ac:dyDescent="0.25">
      <c r="K1288"/>
    </row>
    <row r="1289" spans="11:11" ht="18.75" customHeight="1" x14ac:dyDescent="0.25">
      <c r="K1289"/>
    </row>
    <row r="1290" spans="11:11" ht="18.75" customHeight="1" x14ac:dyDescent="0.25">
      <c r="K1290"/>
    </row>
    <row r="1291" spans="11:11" ht="18.75" customHeight="1" x14ac:dyDescent="0.25">
      <c r="K1291"/>
    </row>
    <row r="1292" spans="11:11" ht="18.75" customHeight="1" x14ac:dyDescent="0.25">
      <c r="K1292"/>
    </row>
    <row r="1293" spans="11:11" ht="18.75" customHeight="1" x14ac:dyDescent="0.25">
      <c r="K1293"/>
    </row>
    <row r="1294" spans="11:11" ht="18.75" customHeight="1" x14ac:dyDescent="0.25">
      <c r="K1294"/>
    </row>
    <row r="1295" spans="11:11" ht="18.75" customHeight="1" x14ac:dyDescent="0.25">
      <c r="K1295"/>
    </row>
    <row r="1296" spans="11:11" ht="18.75" customHeight="1" x14ac:dyDescent="0.25">
      <c r="K1296"/>
    </row>
    <row r="1297" spans="11:11" ht="18.75" customHeight="1" x14ac:dyDescent="0.25">
      <c r="K1297"/>
    </row>
    <row r="1298" spans="11:11" ht="18.75" customHeight="1" x14ac:dyDescent="0.25">
      <c r="K1298"/>
    </row>
    <row r="1299" spans="11:11" ht="18.75" customHeight="1" x14ac:dyDescent="0.25">
      <c r="K1299"/>
    </row>
    <row r="1300" spans="11:11" ht="18.75" customHeight="1" x14ac:dyDescent="0.25">
      <c r="K1300"/>
    </row>
    <row r="1301" spans="11:11" ht="18.75" customHeight="1" x14ac:dyDescent="0.25">
      <c r="K1301"/>
    </row>
    <row r="1302" spans="11:11" ht="18.75" customHeight="1" x14ac:dyDescent="0.25">
      <c r="K1302"/>
    </row>
    <row r="1303" spans="11:11" ht="18.75" customHeight="1" x14ac:dyDescent="0.25">
      <c r="K1303"/>
    </row>
    <row r="1304" spans="11:11" ht="18.75" customHeight="1" x14ac:dyDescent="0.25">
      <c r="K1304"/>
    </row>
    <row r="1305" spans="11:11" ht="18.75" customHeight="1" x14ac:dyDescent="0.25">
      <c r="K1305"/>
    </row>
    <row r="1306" spans="11:11" ht="18.75" customHeight="1" x14ac:dyDescent="0.25">
      <c r="K1306"/>
    </row>
    <row r="1307" spans="11:11" ht="18.75" customHeight="1" x14ac:dyDescent="0.25">
      <c r="K1307"/>
    </row>
    <row r="1308" spans="11:11" ht="18.75" customHeight="1" x14ac:dyDescent="0.25">
      <c r="K1308"/>
    </row>
    <row r="1309" spans="11:11" ht="18.75" customHeight="1" x14ac:dyDescent="0.25">
      <c r="K1309"/>
    </row>
    <row r="1310" spans="11:11" ht="18.75" customHeight="1" x14ac:dyDescent="0.25">
      <c r="K1310"/>
    </row>
    <row r="1311" spans="11:11" ht="18.75" customHeight="1" x14ac:dyDescent="0.25">
      <c r="K1311"/>
    </row>
    <row r="1312" spans="11:11" ht="18.75" customHeight="1" x14ac:dyDescent="0.25">
      <c r="K1312"/>
    </row>
    <row r="1313" spans="11:11" ht="18.75" customHeight="1" x14ac:dyDescent="0.25">
      <c r="K1313"/>
    </row>
    <row r="1314" spans="11:11" ht="18.75" customHeight="1" x14ac:dyDescent="0.25">
      <c r="K1314"/>
    </row>
    <row r="1315" spans="11:11" ht="18.75" customHeight="1" x14ac:dyDescent="0.25">
      <c r="K1315"/>
    </row>
    <row r="1316" spans="11:11" ht="18.75" customHeight="1" x14ac:dyDescent="0.25">
      <c r="K1316"/>
    </row>
    <row r="1317" spans="11:11" ht="18.75" customHeight="1" x14ac:dyDescent="0.25">
      <c r="K1317"/>
    </row>
    <row r="1318" spans="11:11" ht="18.75" customHeight="1" x14ac:dyDescent="0.25">
      <c r="K1318"/>
    </row>
    <row r="1319" spans="11:11" ht="18.75" customHeight="1" x14ac:dyDescent="0.25">
      <c r="K1319"/>
    </row>
    <row r="1320" spans="11:11" ht="18.75" customHeight="1" x14ac:dyDescent="0.25">
      <c r="K1320"/>
    </row>
    <row r="1321" spans="11:11" ht="18.75" customHeight="1" x14ac:dyDescent="0.25">
      <c r="K1321"/>
    </row>
    <row r="1322" spans="11:11" ht="18.75" customHeight="1" x14ac:dyDescent="0.25">
      <c r="K1322"/>
    </row>
    <row r="1323" spans="11:11" ht="18.75" customHeight="1" x14ac:dyDescent="0.25">
      <c r="K1323"/>
    </row>
    <row r="1324" spans="11:11" ht="18.75" customHeight="1" x14ac:dyDescent="0.25">
      <c r="K1324"/>
    </row>
    <row r="1325" spans="11:11" ht="18.75" customHeight="1" x14ac:dyDescent="0.25">
      <c r="K1325"/>
    </row>
    <row r="1326" spans="11:11" ht="18.75" customHeight="1" x14ac:dyDescent="0.25">
      <c r="K1326"/>
    </row>
    <row r="1327" spans="11:11" ht="18.75" customHeight="1" x14ac:dyDescent="0.25">
      <c r="K1327"/>
    </row>
    <row r="1328" spans="11:11" ht="18.75" customHeight="1" x14ac:dyDescent="0.25">
      <c r="K1328"/>
    </row>
    <row r="1329" spans="11:11" ht="18.75" customHeight="1" x14ac:dyDescent="0.25">
      <c r="K1329"/>
    </row>
    <row r="1330" spans="11:11" ht="18.75" customHeight="1" x14ac:dyDescent="0.25">
      <c r="K1330"/>
    </row>
    <row r="1331" spans="11:11" ht="18.75" customHeight="1" x14ac:dyDescent="0.25">
      <c r="K1331"/>
    </row>
    <row r="1332" spans="11:11" ht="18.75" customHeight="1" x14ac:dyDescent="0.25">
      <c r="K1332"/>
    </row>
    <row r="1333" spans="11:11" ht="18.75" customHeight="1" x14ac:dyDescent="0.25">
      <c r="K1333"/>
    </row>
    <row r="1334" spans="11:11" ht="18.75" customHeight="1" x14ac:dyDescent="0.25">
      <c r="K1334"/>
    </row>
    <row r="1335" spans="11:11" ht="18.75" customHeight="1" x14ac:dyDescent="0.25">
      <c r="K1335"/>
    </row>
    <row r="1336" spans="11:11" ht="18.75" customHeight="1" x14ac:dyDescent="0.25">
      <c r="K1336"/>
    </row>
    <row r="1337" spans="11:11" ht="18.75" customHeight="1" x14ac:dyDescent="0.25">
      <c r="K1337"/>
    </row>
    <row r="1338" spans="11:11" ht="18.75" customHeight="1" x14ac:dyDescent="0.25">
      <c r="K1338"/>
    </row>
    <row r="1339" spans="11:11" ht="18.75" customHeight="1" x14ac:dyDescent="0.25">
      <c r="K1339"/>
    </row>
    <row r="1340" spans="11:11" ht="18.75" customHeight="1" x14ac:dyDescent="0.25">
      <c r="K1340"/>
    </row>
    <row r="1341" spans="11:11" ht="18.75" customHeight="1" x14ac:dyDescent="0.25">
      <c r="K1341"/>
    </row>
    <row r="1342" spans="11:11" ht="18.75" customHeight="1" x14ac:dyDescent="0.25">
      <c r="K1342"/>
    </row>
    <row r="1343" spans="11:11" ht="18.75" customHeight="1" x14ac:dyDescent="0.25">
      <c r="K1343"/>
    </row>
    <row r="1344" spans="11:11" ht="18.75" customHeight="1" x14ac:dyDescent="0.25">
      <c r="K1344"/>
    </row>
    <row r="1345" spans="11:11" ht="18.75" customHeight="1" x14ac:dyDescent="0.25">
      <c r="K1345"/>
    </row>
    <row r="1346" spans="11:11" ht="18.75" customHeight="1" x14ac:dyDescent="0.25">
      <c r="K1346"/>
    </row>
    <row r="1347" spans="11:11" ht="18.75" customHeight="1" x14ac:dyDescent="0.25">
      <c r="K1347"/>
    </row>
    <row r="1348" spans="11:11" ht="18.75" customHeight="1" x14ac:dyDescent="0.25">
      <c r="K1348"/>
    </row>
    <row r="1349" spans="11:11" ht="18.75" customHeight="1" x14ac:dyDescent="0.25">
      <c r="K1349"/>
    </row>
    <row r="1350" spans="11:11" ht="18.75" customHeight="1" x14ac:dyDescent="0.25">
      <c r="K1350"/>
    </row>
    <row r="1351" spans="11:11" ht="18.75" customHeight="1" x14ac:dyDescent="0.25">
      <c r="K1351"/>
    </row>
    <row r="1352" spans="11:11" ht="18.75" customHeight="1" x14ac:dyDescent="0.25">
      <c r="K1352"/>
    </row>
    <row r="1353" spans="11:11" ht="18.75" customHeight="1" x14ac:dyDescent="0.25">
      <c r="K1353"/>
    </row>
    <row r="1354" spans="11:11" ht="18.75" customHeight="1" x14ac:dyDescent="0.25">
      <c r="K1354"/>
    </row>
    <row r="1355" spans="11:11" ht="18.75" customHeight="1" x14ac:dyDescent="0.25">
      <c r="K1355"/>
    </row>
    <row r="1356" spans="11:11" ht="18.75" customHeight="1" x14ac:dyDescent="0.25">
      <c r="K1356"/>
    </row>
    <row r="1357" spans="11:11" ht="18.75" customHeight="1" x14ac:dyDescent="0.25">
      <c r="K1357"/>
    </row>
    <row r="1358" spans="11:11" ht="18.75" customHeight="1" x14ac:dyDescent="0.25">
      <c r="K1358"/>
    </row>
    <row r="1359" spans="11:11" ht="18.75" customHeight="1" x14ac:dyDescent="0.25">
      <c r="K1359"/>
    </row>
    <row r="1360" spans="11:11" ht="18.75" customHeight="1" x14ac:dyDescent="0.25">
      <c r="K1360"/>
    </row>
    <row r="1361" spans="11:11" ht="18.75" customHeight="1" x14ac:dyDescent="0.25">
      <c r="K1361"/>
    </row>
    <row r="1362" spans="11:11" ht="18.75" customHeight="1" x14ac:dyDescent="0.25">
      <c r="K1362"/>
    </row>
    <row r="1363" spans="11:11" ht="18.75" customHeight="1" x14ac:dyDescent="0.25">
      <c r="K1363"/>
    </row>
    <row r="1364" spans="11:11" ht="18.75" customHeight="1" x14ac:dyDescent="0.25">
      <c r="K1364"/>
    </row>
    <row r="1365" spans="11:11" ht="18.75" customHeight="1" x14ac:dyDescent="0.25">
      <c r="K1365"/>
    </row>
    <row r="1366" spans="11:11" ht="18.75" customHeight="1" x14ac:dyDescent="0.25">
      <c r="K1366"/>
    </row>
    <row r="1367" spans="11:11" ht="18.75" customHeight="1" x14ac:dyDescent="0.25">
      <c r="K1367"/>
    </row>
    <row r="1368" spans="11:11" ht="18.75" customHeight="1" x14ac:dyDescent="0.25">
      <c r="K1368"/>
    </row>
    <row r="1369" spans="11:11" ht="18.75" customHeight="1" x14ac:dyDescent="0.25">
      <c r="K1369"/>
    </row>
    <row r="1370" spans="11:11" ht="18.75" customHeight="1" x14ac:dyDescent="0.25">
      <c r="K1370"/>
    </row>
    <row r="1371" spans="11:11" ht="18.75" customHeight="1" x14ac:dyDescent="0.25">
      <c r="K1371"/>
    </row>
    <row r="1372" spans="11:11" ht="18.75" customHeight="1" x14ac:dyDescent="0.25">
      <c r="K1372"/>
    </row>
    <row r="1373" spans="11:11" ht="18.75" customHeight="1" x14ac:dyDescent="0.25">
      <c r="K1373"/>
    </row>
    <row r="1374" spans="11:11" ht="18.75" customHeight="1" x14ac:dyDescent="0.25">
      <c r="K1374"/>
    </row>
    <row r="1375" spans="11:11" ht="18.75" customHeight="1" x14ac:dyDescent="0.25">
      <c r="K1375"/>
    </row>
    <row r="1376" spans="11:11" ht="18.75" customHeight="1" x14ac:dyDescent="0.25">
      <c r="K1376"/>
    </row>
    <row r="1377" spans="11:11" ht="18.75" customHeight="1" x14ac:dyDescent="0.25">
      <c r="K1377"/>
    </row>
    <row r="1378" spans="11:11" ht="18.75" customHeight="1" x14ac:dyDescent="0.25">
      <c r="K1378"/>
    </row>
    <row r="1379" spans="11:11" ht="18.75" customHeight="1" x14ac:dyDescent="0.25">
      <c r="K1379"/>
    </row>
    <row r="1380" spans="11:11" ht="18.75" customHeight="1" x14ac:dyDescent="0.25">
      <c r="K1380"/>
    </row>
    <row r="1381" spans="11:11" ht="18.75" customHeight="1" x14ac:dyDescent="0.25">
      <c r="K1381"/>
    </row>
    <row r="1382" spans="11:11" ht="18.75" customHeight="1" x14ac:dyDescent="0.25">
      <c r="K1382"/>
    </row>
    <row r="1383" spans="11:11" ht="18.75" customHeight="1" x14ac:dyDescent="0.25">
      <c r="K1383"/>
    </row>
    <row r="1384" spans="11:11" ht="18.75" customHeight="1" x14ac:dyDescent="0.25">
      <c r="K1384"/>
    </row>
    <row r="1385" spans="11:11" ht="18.75" customHeight="1" x14ac:dyDescent="0.25">
      <c r="K1385"/>
    </row>
    <row r="1386" spans="11:11" ht="18.75" customHeight="1" x14ac:dyDescent="0.25">
      <c r="K1386"/>
    </row>
    <row r="1387" spans="11:11" ht="18.75" customHeight="1" x14ac:dyDescent="0.25">
      <c r="K1387"/>
    </row>
    <row r="1388" spans="11:11" ht="18.75" customHeight="1" x14ac:dyDescent="0.25">
      <c r="K1388"/>
    </row>
    <row r="1389" spans="11:11" ht="18.75" customHeight="1" x14ac:dyDescent="0.25">
      <c r="K1389"/>
    </row>
    <row r="1390" spans="11:11" ht="18.75" customHeight="1" x14ac:dyDescent="0.25">
      <c r="K1390"/>
    </row>
    <row r="1391" spans="11:11" ht="18.75" customHeight="1" x14ac:dyDescent="0.25">
      <c r="K1391"/>
    </row>
    <row r="1392" spans="11:11" ht="18.75" customHeight="1" x14ac:dyDescent="0.25">
      <c r="K1392"/>
    </row>
    <row r="1393" spans="11:11" ht="18.75" customHeight="1" x14ac:dyDescent="0.25">
      <c r="K1393"/>
    </row>
    <row r="1394" spans="11:11" ht="18.75" customHeight="1" x14ac:dyDescent="0.25">
      <c r="K1394"/>
    </row>
    <row r="1395" spans="11:11" ht="18.75" customHeight="1" x14ac:dyDescent="0.25">
      <c r="K1395"/>
    </row>
    <row r="1396" spans="11:11" ht="18.75" customHeight="1" x14ac:dyDescent="0.25">
      <c r="K1396"/>
    </row>
    <row r="1397" spans="11:11" ht="18.75" customHeight="1" x14ac:dyDescent="0.25">
      <c r="K1397"/>
    </row>
    <row r="1398" spans="11:11" ht="18.75" customHeight="1" x14ac:dyDescent="0.25">
      <c r="K1398"/>
    </row>
    <row r="1399" spans="11:11" ht="18.75" customHeight="1" x14ac:dyDescent="0.25">
      <c r="K1399"/>
    </row>
    <row r="1400" spans="11:11" ht="18.75" customHeight="1" x14ac:dyDescent="0.25">
      <c r="K1400"/>
    </row>
    <row r="1401" spans="11:11" ht="18.75" customHeight="1" x14ac:dyDescent="0.25">
      <c r="K1401"/>
    </row>
    <row r="1402" spans="11:11" ht="18.75" customHeight="1" x14ac:dyDescent="0.25">
      <c r="K1402"/>
    </row>
    <row r="1403" spans="11:11" ht="18.75" customHeight="1" x14ac:dyDescent="0.25">
      <c r="K1403"/>
    </row>
    <row r="1404" spans="11:11" ht="18.75" customHeight="1" x14ac:dyDescent="0.25">
      <c r="K1404"/>
    </row>
    <row r="1405" spans="11:11" ht="18.75" customHeight="1" x14ac:dyDescent="0.25">
      <c r="K1405"/>
    </row>
    <row r="1406" spans="11:11" ht="18.75" customHeight="1" x14ac:dyDescent="0.25">
      <c r="K1406"/>
    </row>
    <row r="1407" spans="11:11" ht="18.75" customHeight="1" x14ac:dyDescent="0.25">
      <c r="K1407"/>
    </row>
    <row r="1408" spans="11:11" ht="18.75" customHeight="1" x14ac:dyDescent="0.25">
      <c r="K1408"/>
    </row>
    <row r="1409" spans="11:11" ht="18.75" customHeight="1" x14ac:dyDescent="0.25">
      <c r="K1409"/>
    </row>
    <row r="1410" spans="11:11" ht="18.75" customHeight="1" x14ac:dyDescent="0.25">
      <c r="K1410"/>
    </row>
    <row r="1411" spans="11:11" ht="18.75" customHeight="1" x14ac:dyDescent="0.25">
      <c r="K1411"/>
    </row>
    <row r="1412" spans="11:11" ht="18.75" customHeight="1" x14ac:dyDescent="0.25">
      <c r="K1412"/>
    </row>
    <row r="1413" spans="11:11" ht="18.75" customHeight="1" x14ac:dyDescent="0.25">
      <c r="K1413"/>
    </row>
    <row r="1414" spans="11:11" ht="18.75" customHeight="1" x14ac:dyDescent="0.25">
      <c r="K1414"/>
    </row>
    <row r="1415" spans="11:11" ht="18.75" customHeight="1" x14ac:dyDescent="0.25">
      <c r="K1415"/>
    </row>
    <row r="1416" spans="11:11" ht="18.75" customHeight="1" x14ac:dyDescent="0.25">
      <c r="K1416"/>
    </row>
    <row r="1417" spans="11:11" ht="18.75" customHeight="1" x14ac:dyDescent="0.25">
      <c r="K1417"/>
    </row>
    <row r="1418" spans="11:11" ht="18.75" customHeight="1" x14ac:dyDescent="0.25">
      <c r="K1418"/>
    </row>
    <row r="1419" spans="11:11" ht="18.75" customHeight="1" x14ac:dyDescent="0.25">
      <c r="K1419"/>
    </row>
    <row r="1420" spans="11:11" ht="18.75" customHeight="1" x14ac:dyDescent="0.25">
      <c r="K1420"/>
    </row>
    <row r="1421" spans="11:11" ht="18.75" customHeight="1" x14ac:dyDescent="0.25">
      <c r="K1421"/>
    </row>
    <row r="1422" spans="11:11" ht="18.75" customHeight="1" x14ac:dyDescent="0.25">
      <c r="K1422"/>
    </row>
    <row r="1423" spans="11:11" ht="18.75" customHeight="1" x14ac:dyDescent="0.25">
      <c r="K1423"/>
    </row>
    <row r="1424" spans="11:11" ht="18.75" customHeight="1" x14ac:dyDescent="0.25">
      <c r="K1424"/>
    </row>
    <row r="1425" spans="11:11" ht="18.75" customHeight="1" x14ac:dyDescent="0.25">
      <c r="K1425"/>
    </row>
    <row r="1426" spans="11:11" ht="18.75" customHeight="1" x14ac:dyDescent="0.25">
      <c r="K1426"/>
    </row>
    <row r="1427" spans="11:11" ht="18.75" customHeight="1" x14ac:dyDescent="0.25">
      <c r="K1427"/>
    </row>
    <row r="1428" spans="11:11" ht="18.75" customHeight="1" x14ac:dyDescent="0.25">
      <c r="K1428"/>
    </row>
    <row r="1429" spans="11:11" ht="18.75" customHeight="1" x14ac:dyDescent="0.25">
      <c r="K1429"/>
    </row>
    <row r="1430" spans="11:11" ht="18.75" customHeight="1" x14ac:dyDescent="0.25">
      <c r="K1430"/>
    </row>
    <row r="1431" spans="11:11" ht="18.75" customHeight="1" x14ac:dyDescent="0.25">
      <c r="K1431"/>
    </row>
    <row r="1432" spans="11:11" ht="18.75" customHeight="1" x14ac:dyDescent="0.25">
      <c r="K1432"/>
    </row>
    <row r="1433" spans="11:11" ht="18.75" customHeight="1" x14ac:dyDescent="0.25">
      <c r="K1433"/>
    </row>
    <row r="1434" spans="11:11" ht="18.75" customHeight="1" x14ac:dyDescent="0.25">
      <c r="K1434"/>
    </row>
    <row r="1435" spans="11:11" ht="18.75" customHeight="1" x14ac:dyDescent="0.25">
      <c r="K1435"/>
    </row>
    <row r="1436" spans="11:11" ht="18.75" customHeight="1" x14ac:dyDescent="0.25">
      <c r="K1436"/>
    </row>
    <row r="1437" spans="11:11" ht="18.75" customHeight="1" x14ac:dyDescent="0.25">
      <c r="K1437"/>
    </row>
    <row r="1438" spans="11:11" ht="18.75" customHeight="1" x14ac:dyDescent="0.25">
      <c r="K1438"/>
    </row>
    <row r="1439" spans="11:11" ht="18.75" customHeight="1" x14ac:dyDescent="0.25">
      <c r="K1439"/>
    </row>
    <row r="1440" spans="11:11" ht="18.75" customHeight="1" x14ac:dyDescent="0.25">
      <c r="K1440"/>
    </row>
    <row r="1441" spans="11:11" ht="18.75" customHeight="1" x14ac:dyDescent="0.25">
      <c r="K1441"/>
    </row>
    <row r="1442" spans="11:11" ht="18.75" customHeight="1" x14ac:dyDescent="0.25">
      <c r="K1442"/>
    </row>
    <row r="1443" spans="11:11" ht="18.75" customHeight="1" x14ac:dyDescent="0.25">
      <c r="K1443"/>
    </row>
    <row r="1444" spans="11:11" ht="18.75" customHeight="1" x14ac:dyDescent="0.25">
      <c r="K1444"/>
    </row>
    <row r="1445" spans="11:11" ht="18.75" customHeight="1" x14ac:dyDescent="0.25">
      <c r="K1445"/>
    </row>
    <row r="1446" spans="11:11" ht="18.75" customHeight="1" x14ac:dyDescent="0.25">
      <c r="K1446"/>
    </row>
    <row r="1447" spans="11:11" ht="18.75" customHeight="1" x14ac:dyDescent="0.25">
      <c r="K1447"/>
    </row>
    <row r="1448" spans="11:11" ht="18.75" customHeight="1" x14ac:dyDescent="0.25">
      <c r="K1448"/>
    </row>
    <row r="1449" spans="11:11" ht="18.75" customHeight="1" x14ac:dyDescent="0.25">
      <c r="K1449"/>
    </row>
    <row r="1450" spans="11:11" ht="18.75" customHeight="1" x14ac:dyDescent="0.25">
      <c r="K1450"/>
    </row>
    <row r="1451" spans="11:11" ht="18.75" customHeight="1" x14ac:dyDescent="0.25">
      <c r="K1451"/>
    </row>
    <row r="1452" spans="11:11" ht="18.75" customHeight="1" x14ac:dyDescent="0.25">
      <c r="K1452"/>
    </row>
    <row r="1453" spans="11:11" ht="18.75" customHeight="1" x14ac:dyDescent="0.25">
      <c r="K1453"/>
    </row>
    <row r="1454" spans="11:11" ht="18.75" customHeight="1" x14ac:dyDescent="0.25">
      <c r="K1454"/>
    </row>
    <row r="1455" spans="11:11" ht="18.75" customHeight="1" x14ac:dyDescent="0.25">
      <c r="K1455"/>
    </row>
    <row r="1456" spans="11:11" ht="18.75" customHeight="1" x14ac:dyDescent="0.25">
      <c r="K1456"/>
    </row>
    <row r="1457" spans="11:11" ht="18.75" customHeight="1" x14ac:dyDescent="0.25">
      <c r="K1457"/>
    </row>
    <row r="1458" spans="11:11" ht="18.75" customHeight="1" x14ac:dyDescent="0.25">
      <c r="K1458"/>
    </row>
    <row r="1459" spans="11:11" ht="18.75" customHeight="1" x14ac:dyDescent="0.25">
      <c r="K1459"/>
    </row>
    <row r="1460" spans="11:11" ht="18.75" customHeight="1" x14ac:dyDescent="0.25">
      <c r="K1460"/>
    </row>
    <row r="1461" spans="11:11" ht="18.75" customHeight="1" x14ac:dyDescent="0.25">
      <c r="K1461"/>
    </row>
    <row r="1462" spans="11:11" ht="18.75" customHeight="1" x14ac:dyDescent="0.25">
      <c r="K1462"/>
    </row>
    <row r="1463" spans="11:11" ht="18.75" customHeight="1" x14ac:dyDescent="0.25">
      <c r="K1463"/>
    </row>
    <row r="1464" spans="11:11" ht="18.75" customHeight="1" x14ac:dyDescent="0.25">
      <c r="K1464"/>
    </row>
    <row r="1465" spans="11:11" ht="18.75" customHeight="1" x14ac:dyDescent="0.25">
      <c r="K1465"/>
    </row>
    <row r="1466" spans="11:11" ht="18.75" customHeight="1" x14ac:dyDescent="0.25">
      <c r="K1466"/>
    </row>
    <row r="1467" spans="11:11" ht="18.75" customHeight="1" x14ac:dyDescent="0.25">
      <c r="K1467"/>
    </row>
    <row r="1468" spans="11:11" ht="18.75" customHeight="1" x14ac:dyDescent="0.25">
      <c r="K1468"/>
    </row>
    <row r="1469" spans="11:11" ht="18.75" customHeight="1" x14ac:dyDescent="0.25">
      <c r="K1469"/>
    </row>
    <row r="1470" spans="11:11" ht="18.75" customHeight="1" x14ac:dyDescent="0.25">
      <c r="K1470"/>
    </row>
    <row r="1471" spans="11:11" ht="18.75" customHeight="1" x14ac:dyDescent="0.25">
      <c r="K1471"/>
    </row>
    <row r="1472" spans="11:11" ht="18.75" customHeight="1" x14ac:dyDescent="0.25">
      <c r="K1472"/>
    </row>
    <row r="1473" spans="11:11" ht="18.75" customHeight="1" x14ac:dyDescent="0.25">
      <c r="K1473"/>
    </row>
    <row r="1474" spans="11:11" ht="18.75" customHeight="1" x14ac:dyDescent="0.25">
      <c r="K1474"/>
    </row>
    <row r="1475" spans="11:11" ht="18.75" customHeight="1" x14ac:dyDescent="0.25">
      <c r="K1475"/>
    </row>
    <row r="1476" spans="11:11" ht="18.75" customHeight="1" x14ac:dyDescent="0.25">
      <c r="K1476"/>
    </row>
    <row r="1477" spans="11:11" ht="18.75" customHeight="1" x14ac:dyDescent="0.25">
      <c r="K1477"/>
    </row>
    <row r="1478" spans="11:11" ht="18.75" customHeight="1" x14ac:dyDescent="0.25">
      <c r="K1478"/>
    </row>
    <row r="1479" spans="11:11" ht="18.75" customHeight="1" x14ac:dyDescent="0.25">
      <c r="K1479"/>
    </row>
    <row r="1480" spans="11:11" ht="18.75" customHeight="1" x14ac:dyDescent="0.25">
      <c r="K1480"/>
    </row>
    <row r="1481" spans="11:11" ht="18.75" customHeight="1" x14ac:dyDescent="0.25">
      <c r="K1481"/>
    </row>
    <row r="1482" spans="11:11" ht="18.75" customHeight="1" x14ac:dyDescent="0.25">
      <c r="K1482"/>
    </row>
    <row r="1483" spans="11:11" ht="18.75" customHeight="1" x14ac:dyDescent="0.25">
      <c r="K1483"/>
    </row>
    <row r="1484" spans="11:11" ht="18.75" customHeight="1" x14ac:dyDescent="0.25">
      <c r="K1484"/>
    </row>
    <row r="1485" spans="11:11" ht="18.75" customHeight="1" x14ac:dyDescent="0.25">
      <c r="K1485"/>
    </row>
    <row r="1486" spans="11:11" ht="18.75" customHeight="1" x14ac:dyDescent="0.25">
      <c r="K1486"/>
    </row>
    <row r="1487" spans="11:11" ht="18.75" customHeight="1" x14ac:dyDescent="0.25">
      <c r="K1487"/>
    </row>
    <row r="1488" spans="11:11" ht="18.75" customHeight="1" x14ac:dyDescent="0.25">
      <c r="K1488"/>
    </row>
    <row r="1489" spans="11:11" ht="18.75" customHeight="1" x14ac:dyDescent="0.25">
      <c r="K1489"/>
    </row>
    <row r="1490" spans="11:11" ht="18.75" customHeight="1" x14ac:dyDescent="0.25">
      <c r="K1490"/>
    </row>
    <row r="1491" spans="11:11" ht="18.75" customHeight="1" x14ac:dyDescent="0.25">
      <c r="K1491"/>
    </row>
    <row r="1492" spans="11:11" ht="18.75" customHeight="1" x14ac:dyDescent="0.25">
      <c r="K1492"/>
    </row>
    <row r="1493" spans="11:11" ht="18.75" customHeight="1" x14ac:dyDescent="0.25">
      <c r="K1493"/>
    </row>
    <row r="1494" spans="11:11" ht="18.75" customHeight="1" x14ac:dyDescent="0.25">
      <c r="K1494"/>
    </row>
    <row r="1495" spans="11:11" ht="18.75" customHeight="1" x14ac:dyDescent="0.25">
      <c r="K1495"/>
    </row>
    <row r="1496" spans="11:11" ht="18.75" customHeight="1" x14ac:dyDescent="0.25">
      <c r="K1496"/>
    </row>
    <row r="1497" spans="11:11" ht="18.75" customHeight="1" x14ac:dyDescent="0.25">
      <c r="K1497"/>
    </row>
    <row r="1498" spans="11:11" ht="18.75" customHeight="1" x14ac:dyDescent="0.25">
      <c r="K1498"/>
    </row>
    <row r="1499" spans="11:11" ht="18.75" customHeight="1" x14ac:dyDescent="0.25">
      <c r="K1499"/>
    </row>
    <row r="1500" spans="11:11" ht="18.75" customHeight="1" x14ac:dyDescent="0.25">
      <c r="K1500"/>
    </row>
    <row r="1501" spans="11:11" ht="18.75" customHeight="1" x14ac:dyDescent="0.25">
      <c r="K1501"/>
    </row>
    <row r="1502" spans="11:11" ht="18.75" customHeight="1" x14ac:dyDescent="0.25">
      <c r="K1502"/>
    </row>
    <row r="1503" spans="11:11" ht="18.75" customHeight="1" x14ac:dyDescent="0.25">
      <c r="K1503"/>
    </row>
    <row r="1504" spans="11:11" ht="18.75" customHeight="1" x14ac:dyDescent="0.25">
      <c r="K1504"/>
    </row>
    <row r="1505" spans="11:11" ht="18.75" customHeight="1" x14ac:dyDescent="0.25">
      <c r="K1505"/>
    </row>
    <row r="1506" spans="11:11" ht="18.75" customHeight="1" x14ac:dyDescent="0.25">
      <c r="K1506"/>
    </row>
    <row r="1507" spans="11:11" ht="18.75" customHeight="1" x14ac:dyDescent="0.25">
      <c r="K1507"/>
    </row>
    <row r="1508" spans="11:11" ht="18.75" customHeight="1" x14ac:dyDescent="0.25">
      <c r="K1508"/>
    </row>
    <row r="1509" spans="11:11" ht="18.75" customHeight="1" x14ac:dyDescent="0.25">
      <c r="K1509"/>
    </row>
    <row r="1510" spans="11:11" ht="18.75" customHeight="1" x14ac:dyDescent="0.25">
      <c r="K1510"/>
    </row>
    <row r="1511" spans="11:11" ht="18.75" customHeight="1" x14ac:dyDescent="0.25">
      <c r="K1511"/>
    </row>
    <row r="1512" spans="11:11" ht="18.75" customHeight="1" x14ac:dyDescent="0.25">
      <c r="K1512"/>
    </row>
    <row r="1513" spans="11:11" ht="18.75" customHeight="1" x14ac:dyDescent="0.25">
      <c r="K1513"/>
    </row>
    <row r="1514" spans="11:11" ht="18.75" customHeight="1" x14ac:dyDescent="0.25">
      <c r="K1514"/>
    </row>
    <row r="1515" spans="11:11" ht="18.75" customHeight="1" x14ac:dyDescent="0.25">
      <c r="K1515"/>
    </row>
    <row r="1516" spans="11:11" ht="18.75" customHeight="1" x14ac:dyDescent="0.25">
      <c r="K1516"/>
    </row>
    <row r="1517" spans="11:11" ht="18.75" customHeight="1" x14ac:dyDescent="0.25">
      <c r="K1517"/>
    </row>
    <row r="1518" spans="11:11" ht="18.75" customHeight="1" x14ac:dyDescent="0.25">
      <c r="K1518"/>
    </row>
    <row r="1519" spans="11:11" ht="18.75" customHeight="1" x14ac:dyDescent="0.25">
      <c r="K1519"/>
    </row>
    <row r="1520" spans="11:11" ht="18.75" customHeight="1" x14ac:dyDescent="0.25">
      <c r="K1520"/>
    </row>
    <row r="1521" spans="11:11" ht="18.75" customHeight="1" x14ac:dyDescent="0.25">
      <c r="K1521"/>
    </row>
    <row r="1522" spans="11:11" ht="18.75" customHeight="1" x14ac:dyDescent="0.25">
      <c r="K1522"/>
    </row>
    <row r="1523" spans="11:11" ht="18.75" customHeight="1" x14ac:dyDescent="0.25">
      <c r="K1523"/>
    </row>
    <row r="1524" spans="11:11" ht="18.75" customHeight="1" x14ac:dyDescent="0.25">
      <c r="K1524"/>
    </row>
    <row r="1525" spans="11:11" ht="18.75" customHeight="1" x14ac:dyDescent="0.25">
      <c r="K1525"/>
    </row>
    <row r="1526" spans="11:11" ht="18.75" customHeight="1" x14ac:dyDescent="0.25">
      <c r="K1526"/>
    </row>
    <row r="1527" spans="11:11" ht="18.75" customHeight="1" x14ac:dyDescent="0.25">
      <c r="K1527"/>
    </row>
    <row r="1528" spans="11:11" ht="18.75" customHeight="1" x14ac:dyDescent="0.25">
      <c r="K1528"/>
    </row>
    <row r="1529" spans="11:11" ht="18.75" customHeight="1" x14ac:dyDescent="0.25">
      <c r="K1529"/>
    </row>
    <row r="1530" spans="11:11" ht="18.75" customHeight="1" x14ac:dyDescent="0.25">
      <c r="K1530"/>
    </row>
    <row r="1531" spans="11:11" ht="18.75" customHeight="1" x14ac:dyDescent="0.25">
      <c r="K1531"/>
    </row>
    <row r="1532" spans="11:11" ht="18.75" customHeight="1" x14ac:dyDescent="0.25">
      <c r="K1532"/>
    </row>
    <row r="1533" spans="11:11" ht="18.75" customHeight="1" x14ac:dyDescent="0.25">
      <c r="K1533"/>
    </row>
    <row r="1534" spans="11:11" ht="18.75" customHeight="1" x14ac:dyDescent="0.25">
      <c r="K1534"/>
    </row>
    <row r="1535" spans="11:11" ht="18.75" customHeight="1" x14ac:dyDescent="0.25">
      <c r="K1535"/>
    </row>
    <row r="1536" spans="11:11" ht="18.75" customHeight="1" x14ac:dyDescent="0.25">
      <c r="K1536"/>
    </row>
    <row r="1537" spans="11:11" ht="18.75" customHeight="1" x14ac:dyDescent="0.25">
      <c r="K1537"/>
    </row>
    <row r="1538" spans="11:11" ht="18.75" customHeight="1" x14ac:dyDescent="0.25">
      <c r="K1538"/>
    </row>
    <row r="1539" spans="11:11" ht="18.75" customHeight="1" x14ac:dyDescent="0.25">
      <c r="K1539"/>
    </row>
    <row r="1540" spans="11:11" ht="18.75" customHeight="1" x14ac:dyDescent="0.25">
      <c r="K1540"/>
    </row>
    <row r="1541" spans="11:11" ht="18.75" customHeight="1" x14ac:dyDescent="0.25">
      <c r="K1541"/>
    </row>
    <row r="1542" spans="11:11" ht="18.75" customHeight="1" x14ac:dyDescent="0.25">
      <c r="K1542"/>
    </row>
    <row r="1543" spans="11:11" ht="18.75" customHeight="1" x14ac:dyDescent="0.25">
      <c r="K1543"/>
    </row>
    <row r="1544" spans="11:11" ht="18.75" customHeight="1" x14ac:dyDescent="0.25">
      <c r="K1544"/>
    </row>
    <row r="1545" spans="11:11" ht="18.75" customHeight="1" x14ac:dyDescent="0.25">
      <c r="K1545"/>
    </row>
    <row r="1546" spans="11:11" ht="18.75" customHeight="1" x14ac:dyDescent="0.25">
      <c r="K1546"/>
    </row>
    <row r="1547" spans="11:11" ht="18.75" customHeight="1" x14ac:dyDescent="0.25">
      <c r="K1547"/>
    </row>
    <row r="1548" spans="11:11" ht="18.75" customHeight="1" x14ac:dyDescent="0.25">
      <c r="K1548"/>
    </row>
    <row r="1549" spans="11:11" ht="18.75" customHeight="1" x14ac:dyDescent="0.25">
      <c r="K1549"/>
    </row>
    <row r="1550" spans="11:11" ht="18.75" customHeight="1" x14ac:dyDescent="0.25">
      <c r="K1550"/>
    </row>
    <row r="1551" spans="11:11" ht="18.75" customHeight="1" x14ac:dyDescent="0.25">
      <c r="K1551"/>
    </row>
    <row r="1552" spans="11:11" ht="18.75" customHeight="1" x14ac:dyDescent="0.25">
      <c r="K1552"/>
    </row>
    <row r="1553" spans="11:11" ht="18.75" customHeight="1" x14ac:dyDescent="0.25">
      <c r="K1553"/>
    </row>
    <row r="1554" spans="11:11" ht="18.75" customHeight="1" x14ac:dyDescent="0.25">
      <c r="K1554"/>
    </row>
    <row r="1555" spans="11:11" ht="18.75" customHeight="1" x14ac:dyDescent="0.25">
      <c r="K1555"/>
    </row>
    <row r="1556" spans="11:11" ht="18.75" customHeight="1" x14ac:dyDescent="0.25">
      <c r="K1556"/>
    </row>
    <row r="1557" spans="11:11" ht="18.75" customHeight="1" x14ac:dyDescent="0.25">
      <c r="K155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3" tint="-0.249977111117893"/>
  </sheetPr>
  <dimension ref="A2:AA24"/>
  <sheetViews>
    <sheetView showGridLines="0" workbookViewId="0">
      <selection activeCell="O20" sqref="O20"/>
    </sheetView>
  </sheetViews>
  <sheetFormatPr defaultRowHeight="16.5" customHeight="1" x14ac:dyDescent="0.25"/>
  <cols>
    <col min="21" max="21" width="9.140625" style="23"/>
    <col min="27" max="27" width="9.140625" style="181"/>
  </cols>
  <sheetData>
    <row r="2" spans="1:27" ht="16.5" customHeight="1" x14ac:dyDescent="0.25">
      <c r="B2" s="1029" t="str">
        <f>+요약!O6</f>
        <v>바스키아</v>
      </c>
      <c r="D2" s="1029" t="str">
        <f>+요약!P6</f>
        <v>김정기</v>
      </c>
      <c r="F2" s="1029" t="str">
        <f>요약!$Q$6</f>
        <v>드리머</v>
      </c>
      <c r="H2" s="1029" t="str">
        <f>요약!$R$6</f>
        <v>알렉스</v>
      </c>
      <c r="J2" s="1029" t="str">
        <f>요약!$S$6</f>
        <v>페어리</v>
      </c>
      <c r="L2" s="1029" t="str">
        <f>요약!$T$6</f>
        <v>마르지엘라</v>
      </c>
      <c r="N2" s="1029" t="str">
        <f>요약!$U$6</f>
        <v>제이알</v>
      </c>
      <c r="P2" s="1029" t="str">
        <f>요약!$V$6</f>
        <v>오스틴 리</v>
      </c>
      <c r="U2" s="23">
        <f>+SUM(U4:U16)</f>
        <v>52040.618518518517</v>
      </c>
      <c r="X2" s="23">
        <f>+SUM(X4:X16)</f>
        <v>15885.594987035438</v>
      </c>
      <c r="Z2" s="23">
        <f>+SUM(Z4:Z16)</f>
        <v>17169.113742437337</v>
      </c>
    </row>
    <row r="3" spans="1:27" ht="16.5" customHeight="1" x14ac:dyDescent="0.25">
      <c r="B3" s="1029"/>
      <c r="C3" s="24" t="s">
        <v>91</v>
      </c>
      <c r="D3" s="1029"/>
      <c r="E3" s="24" t="s">
        <v>91</v>
      </c>
      <c r="F3" s="1029"/>
      <c r="G3" s="24" t="s">
        <v>91</v>
      </c>
      <c r="H3" s="1029"/>
      <c r="I3" s="24" t="s">
        <v>91</v>
      </c>
      <c r="J3" s="1029"/>
      <c r="K3" s="24" t="s">
        <v>91</v>
      </c>
      <c r="L3" s="1029"/>
      <c r="M3" s="24" t="s">
        <v>91</v>
      </c>
      <c r="N3" s="1029"/>
      <c r="O3" s="24" t="s">
        <v>91</v>
      </c>
      <c r="P3" s="1029"/>
      <c r="Q3" s="24" t="s">
        <v>91</v>
      </c>
      <c r="T3" s="24" t="s">
        <v>92</v>
      </c>
      <c r="U3" s="25"/>
      <c r="V3" s="24" t="s">
        <v>93</v>
      </c>
      <c r="W3" s="24" t="s">
        <v>94</v>
      </c>
      <c r="X3" s="24"/>
      <c r="Y3" s="24" t="s">
        <v>65</v>
      </c>
      <c r="Z3" s="24"/>
    </row>
    <row r="4" spans="1:27" ht="16.5" customHeight="1" x14ac:dyDescent="0.25">
      <c r="A4" s="182">
        <f>+요약!N7</f>
        <v>1</v>
      </c>
      <c r="B4" s="23">
        <f>+요약!O7</f>
        <v>7509</v>
      </c>
      <c r="C4" s="181">
        <f>+B4/B$4</f>
        <v>1</v>
      </c>
      <c r="D4" s="23">
        <f>+요약!P7</f>
        <v>845</v>
      </c>
      <c r="E4" s="181">
        <f>+D4/D$4</f>
        <v>1</v>
      </c>
      <c r="F4" s="23">
        <f>요약!Q7</f>
        <v>810</v>
      </c>
      <c r="G4" s="181">
        <f>+F4/F$4</f>
        <v>1</v>
      </c>
      <c r="H4" s="23">
        <f>요약!$R7</f>
        <v>1920</v>
      </c>
      <c r="I4" s="181">
        <f>+H4/H$4</f>
        <v>1</v>
      </c>
      <c r="J4" s="23">
        <f>요약!$S7</f>
        <v>2090</v>
      </c>
      <c r="K4" s="181">
        <f>+J4/J$4</f>
        <v>1</v>
      </c>
      <c r="L4" s="23">
        <f>요약!$T7</f>
        <v>5785</v>
      </c>
      <c r="M4" s="181">
        <f>+L4/L$4</f>
        <v>1</v>
      </c>
      <c r="N4" s="23">
        <f>요약!$U7</f>
        <v>990</v>
      </c>
      <c r="O4" s="181">
        <f>+N4/N$4</f>
        <v>1</v>
      </c>
      <c r="P4" s="23">
        <f>요약!$V7</f>
        <v>1797</v>
      </c>
      <c r="Q4" s="181">
        <f>+P4/P$4</f>
        <v>1</v>
      </c>
      <c r="S4" s="23">
        <f>+요약!W7</f>
        <v>2263</v>
      </c>
      <c r="T4" s="181">
        <f>+G4</f>
        <v>1</v>
      </c>
      <c r="U4" s="23">
        <f>+S4</f>
        <v>2263</v>
      </c>
      <c r="V4" s="181">
        <f t="shared" ref="V4:V23" si="0">+M4</f>
        <v>1</v>
      </c>
      <c r="W4" s="181"/>
      <c r="X4" s="23">
        <f>+U4</f>
        <v>2263</v>
      </c>
      <c r="Y4" s="181">
        <f>+AVERAGE(E4,G4)</f>
        <v>1</v>
      </c>
      <c r="Z4" s="23">
        <f>+S4</f>
        <v>2263</v>
      </c>
      <c r="AA4" s="181">
        <v>1</v>
      </c>
    </row>
    <row r="5" spans="1:27" ht="16.5" customHeight="1" x14ac:dyDescent="0.25">
      <c r="A5" s="182">
        <f>+요약!N8</f>
        <v>2</v>
      </c>
      <c r="B5" s="23">
        <f>+요약!O8</f>
        <v>6055</v>
      </c>
      <c r="C5" s="181">
        <f t="shared" ref="C5:E23" si="1">+B5/B$4</f>
        <v>0.80636569449993345</v>
      </c>
      <c r="D5" s="23">
        <f>+요약!P8</f>
        <v>868</v>
      </c>
      <c r="E5" s="181">
        <f t="shared" si="1"/>
        <v>1.0272189349112426</v>
      </c>
      <c r="F5" s="23">
        <f>요약!Q8</f>
        <v>1218</v>
      </c>
      <c r="G5" s="181">
        <f t="shared" ref="G5:I5" si="2">+F5/F$4</f>
        <v>1.5037037037037038</v>
      </c>
      <c r="H5" s="23">
        <f>요약!$R8</f>
        <v>1953</v>
      </c>
      <c r="I5" s="181">
        <f t="shared" si="2"/>
        <v>1.0171874999999999</v>
      </c>
      <c r="J5" s="23">
        <f>요약!$S8</f>
        <v>1929</v>
      </c>
      <c r="K5" s="181">
        <f t="shared" ref="K5:M5" si="3">+J5/J$4</f>
        <v>0.92296650717703355</v>
      </c>
      <c r="L5" s="23">
        <f>요약!$T8</f>
        <v>2559</v>
      </c>
      <c r="M5" s="181">
        <f t="shared" si="3"/>
        <v>0.44235090751944683</v>
      </c>
      <c r="N5" s="23">
        <f>요약!$U8</f>
        <v>875</v>
      </c>
      <c r="O5" s="181">
        <f t="shared" ref="O5" si="4">+N5/N$4</f>
        <v>0.88383838383838387</v>
      </c>
      <c r="P5" s="23">
        <f>요약!$V8</f>
        <v>1912</v>
      </c>
      <c r="Q5" s="181">
        <f t="shared" ref="Q5" si="5">+P5/P$4</f>
        <v>1.0639955481357819</v>
      </c>
      <c r="S5" s="23">
        <f>+요약!W8</f>
        <v>1108</v>
      </c>
      <c r="T5" s="181">
        <f t="shared" ref="T5:T17" si="6">+G5</f>
        <v>1.5037037037037038</v>
      </c>
      <c r="U5" s="23">
        <f>+U$4*T5</f>
        <v>3402.8814814814818</v>
      </c>
      <c r="V5" s="181">
        <f t="shared" si="0"/>
        <v>0.44235090751944683</v>
      </c>
      <c r="W5" s="181">
        <f>+V5-V4</f>
        <v>-0.55764909248055317</v>
      </c>
      <c r="X5" s="23">
        <f t="shared" ref="X5:X16" si="7">+X$4*V5</f>
        <v>1001.0401037165082</v>
      </c>
      <c r="Y5" s="181">
        <f t="shared" ref="Y5:Y23" si="8">+AVERAGE(E5,G5)</f>
        <v>1.2654613193074731</v>
      </c>
      <c r="Z5" s="23">
        <f>+S5</f>
        <v>1108</v>
      </c>
      <c r="AA5" s="181">
        <f>+Z5/Z$4</f>
        <v>0.48961555457357492</v>
      </c>
    </row>
    <row r="6" spans="1:27" ht="16.5" customHeight="1" x14ac:dyDescent="0.25">
      <c r="A6" s="182">
        <f>+요약!N9</f>
        <v>3</v>
      </c>
      <c r="B6" s="23">
        <f>+요약!O9</f>
        <v>5911</v>
      </c>
      <c r="C6" s="181">
        <f t="shared" si="1"/>
        <v>0.78718870688507125</v>
      </c>
      <c r="D6" s="23">
        <f>+요약!P9</f>
        <v>1152</v>
      </c>
      <c r="E6" s="181">
        <f t="shared" si="1"/>
        <v>1.3633136094674556</v>
      </c>
      <c r="F6" s="23">
        <f>요약!Q9</f>
        <v>847</v>
      </c>
      <c r="G6" s="181">
        <f t="shared" ref="G6:I6" si="9">+F6/F$4</f>
        <v>1.0456790123456789</v>
      </c>
      <c r="H6" s="23">
        <f>요약!$R9</f>
        <v>2011</v>
      </c>
      <c r="I6" s="181">
        <f t="shared" si="9"/>
        <v>1.0473958333333333</v>
      </c>
      <c r="J6" s="23">
        <f>요약!$S9</f>
        <v>2139</v>
      </c>
      <c r="K6" s="181">
        <f t="shared" ref="K6:M6" si="10">+J6/J$4</f>
        <v>1.0234449760765549</v>
      </c>
      <c r="L6" s="23">
        <f>요약!$T9</f>
        <v>4095</v>
      </c>
      <c r="M6" s="181">
        <f t="shared" si="10"/>
        <v>0.7078651685393258</v>
      </c>
      <c r="N6" s="23">
        <f>요약!$U9</f>
        <v>908</v>
      </c>
      <c r="O6" s="181">
        <f t="shared" ref="O6" si="11">+N6/N$4</f>
        <v>0.91717171717171719</v>
      </c>
      <c r="P6" s="23">
        <f>요약!$V9</f>
        <v>1558</v>
      </c>
      <c r="Q6" s="181">
        <f t="shared" ref="Q6" si="12">+P6/P$4</f>
        <v>0.86700055648302732</v>
      </c>
      <c r="T6" s="181">
        <f t="shared" si="6"/>
        <v>1.0456790123456789</v>
      </c>
      <c r="U6" s="23">
        <f t="shared" ref="U6:U16" si="13">+U$4*T6</f>
        <v>2366.3716049382715</v>
      </c>
      <c r="V6" s="181">
        <f t="shared" si="0"/>
        <v>0.7078651685393258</v>
      </c>
      <c r="W6" s="181">
        <f t="shared" ref="W6:W16" si="14">+V6-V5</f>
        <v>0.26551426101987896</v>
      </c>
      <c r="X6" s="23">
        <f t="shared" si="7"/>
        <v>1601.8988764044943</v>
      </c>
      <c r="Y6" s="181">
        <f t="shared" si="8"/>
        <v>1.2044963109065674</v>
      </c>
      <c r="Z6" s="23">
        <f>+Z$4*AA6</f>
        <v>1708.8587726879859</v>
      </c>
      <c r="AA6" s="181">
        <f>+AA5+W6</f>
        <v>0.75512981559345382</v>
      </c>
    </row>
    <row r="7" spans="1:27" ht="16.5" customHeight="1" x14ac:dyDescent="0.25">
      <c r="A7" s="182">
        <f>+요약!N10</f>
        <v>4</v>
      </c>
      <c r="B7" s="23">
        <f>+요약!O10</f>
        <v>5843</v>
      </c>
      <c r="C7" s="181">
        <f t="shared" si="1"/>
        <v>0.77813290717805306</v>
      </c>
      <c r="D7" s="23">
        <f>+요약!P10</f>
        <v>840</v>
      </c>
      <c r="E7" s="181">
        <f t="shared" si="1"/>
        <v>0.99408284023668636</v>
      </c>
      <c r="F7" s="23">
        <f>요약!Q10</f>
        <v>1082</v>
      </c>
      <c r="G7" s="181">
        <f t="shared" ref="G7:I7" si="15">+F7/F$4</f>
        <v>1.3358024691358024</v>
      </c>
      <c r="H7" s="23">
        <f>요약!$R10</f>
        <v>2419</v>
      </c>
      <c r="I7" s="181">
        <f t="shared" si="15"/>
        <v>1.2598958333333334</v>
      </c>
      <c r="J7" s="23">
        <f>요약!$S10</f>
        <v>1774</v>
      </c>
      <c r="K7" s="181">
        <f t="shared" ref="K7:M7" si="16">+J7/J$4</f>
        <v>0.84880382775119623</v>
      </c>
      <c r="L7" s="23">
        <f>요약!$T10</f>
        <v>4261</v>
      </c>
      <c r="M7" s="181">
        <f t="shared" si="16"/>
        <v>0.7365600691443388</v>
      </c>
      <c r="N7" s="23">
        <f>요약!$U10</f>
        <v>1020</v>
      </c>
      <c r="O7" s="181">
        <f t="shared" ref="O7" si="17">+N7/N$4</f>
        <v>1.0303030303030303</v>
      </c>
      <c r="P7" s="23">
        <f>요약!$V10</f>
        <v>1646</v>
      </c>
      <c r="Q7" s="181">
        <f t="shared" ref="Q7" si="18">+P7/P$4</f>
        <v>0.91597106288258212</v>
      </c>
      <c r="T7" s="181">
        <f t="shared" si="6"/>
        <v>1.3358024691358024</v>
      </c>
      <c r="U7" s="23">
        <f t="shared" si="13"/>
        <v>3022.9209876543209</v>
      </c>
      <c r="V7" s="181">
        <f t="shared" si="0"/>
        <v>0.7365600691443388</v>
      </c>
      <c r="W7" s="181">
        <f t="shared" si="14"/>
        <v>2.8694900605013007E-2</v>
      </c>
      <c r="X7" s="23">
        <f t="shared" si="7"/>
        <v>1666.8354364736388</v>
      </c>
      <c r="Y7" s="181">
        <f t="shared" si="8"/>
        <v>1.1649426546862442</v>
      </c>
      <c r="Z7" s="23">
        <f t="shared" ref="Z7:Z16" si="19">+Z$4*AA7</f>
        <v>1773.7953327571304</v>
      </c>
      <c r="AA7" s="181">
        <f t="shared" ref="AA7:AA16" si="20">+AA6+W7</f>
        <v>0.78382471619846683</v>
      </c>
    </row>
    <row r="8" spans="1:27" ht="16.5" customHeight="1" x14ac:dyDescent="0.25">
      <c r="A8" s="182">
        <f>+요약!N11</f>
        <v>5</v>
      </c>
      <c r="B8" s="23">
        <f>+요약!O11</f>
        <v>6046</v>
      </c>
      <c r="C8" s="181">
        <f t="shared" si="1"/>
        <v>0.80516713277400453</v>
      </c>
      <c r="D8" s="23">
        <f>+요약!P11</f>
        <v>1106</v>
      </c>
      <c r="E8" s="181">
        <f t="shared" si="1"/>
        <v>1.3088757396449704</v>
      </c>
      <c r="F8" s="23">
        <f>요약!Q11</f>
        <v>1162</v>
      </c>
      <c r="G8" s="181">
        <f t="shared" ref="G8:I8" si="21">+F8/F$4</f>
        <v>1.434567901234568</v>
      </c>
      <c r="H8" s="23">
        <f>요약!$R11</f>
        <v>2557</v>
      </c>
      <c r="I8" s="181">
        <f t="shared" si="21"/>
        <v>1.3317708333333333</v>
      </c>
      <c r="J8" s="23">
        <f>요약!$S11</f>
        <v>2377</v>
      </c>
      <c r="K8" s="181">
        <f t="shared" ref="K8:M8" si="22">+J8/J$4</f>
        <v>1.1373205741626795</v>
      </c>
      <c r="L8" s="23">
        <f>요약!$T11</f>
        <v>2925</v>
      </c>
      <c r="M8" s="181">
        <f t="shared" si="22"/>
        <v>0.5056179775280899</v>
      </c>
      <c r="N8" s="23">
        <f>요약!$U11</f>
        <v>881</v>
      </c>
      <c r="O8" s="181">
        <f t="shared" ref="O8" si="23">+N8/N$4</f>
        <v>0.88989898989898986</v>
      </c>
      <c r="P8" s="23">
        <f>요약!$V11</f>
        <v>1272</v>
      </c>
      <c r="Q8" s="181">
        <f t="shared" ref="Q8" si="24">+P8/P$4</f>
        <v>0.70784641068447407</v>
      </c>
      <c r="T8" s="181">
        <f t="shared" si="6"/>
        <v>1.434567901234568</v>
      </c>
      <c r="U8" s="23">
        <f t="shared" si="13"/>
        <v>3246.4271604938276</v>
      </c>
      <c r="V8" s="181">
        <f t="shared" si="0"/>
        <v>0.5056179775280899</v>
      </c>
      <c r="W8" s="181">
        <f t="shared" si="14"/>
        <v>-0.2309420916162489</v>
      </c>
      <c r="X8" s="23">
        <f t="shared" si="7"/>
        <v>1144.2134831460673</v>
      </c>
      <c r="Y8" s="181">
        <f t="shared" si="8"/>
        <v>1.3717218204397692</v>
      </c>
      <c r="Z8" s="23">
        <f t="shared" si="19"/>
        <v>1251.1733794295592</v>
      </c>
      <c r="AA8" s="181">
        <f t="shared" si="20"/>
        <v>0.55288262458221793</v>
      </c>
    </row>
    <row r="9" spans="1:27" ht="16.5" customHeight="1" x14ac:dyDescent="0.25">
      <c r="A9" s="182">
        <f>+요약!N12</f>
        <v>6</v>
      </c>
      <c r="B9" s="23">
        <f>+요약!O12</f>
        <v>6560</v>
      </c>
      <c r="C9" s="181">
        <f t="shared" si="1"/>
        <v>0.87361832467705425</v>
      </c>
      <c r="D9" s="23">
        <f>+요약!P12</f>
        <v>1025</v>
      </c>
      <c r="E9" s="181">
        <f t="shared" si="1"/>
        <v>1.2130177514792899</v>
      </c>
      <c r="F9" s="23">
        <f>요약!Q12</f>
        <v>1230</v>
      </c>
      <c r="G9" s="181">
        <f t="shared" ref="G9:I9" si="25">+F9/F$4</f>
        <v>1.5185185185185186</v>
      </c>
      <c r="H9" s="23">
        <f>요약!$R12</f>
        <v>2035</v>
      </c>
      <c r="I9" s="181">
        <f t="shared" si="25"/>
        <v>1.0598958333333333</v>
      </c>
      <c r="J9" s="23">
        <f>요약!$S12</f>
        <v>1248</v>
      </c>
      <c r="K9" s="181">
        <f t="shared" ref="K9:M9" si="26">+J9/J$4</f>
        <v>0.59712918660287084</v>
      </c>
      <c r="L9" s="23">
        <f>요약!$T12</f>
        <v>4599</v>
      </c>
      <c r="M9" s="181">
        <f t="shared" si="26"/>
        <v>0.79498703543647364</v>
      </c>
      <c r="N9" s="23">
        <f>요약!$U12</f>
        <v>748</v>
      </c>
      <c r="O9" s="181">
        <f t="shared" ref="O9" si="27">+N9/N$4</f>
        <v>0.75555555555555554</v>
      </c>
      <c r="P9" s="23">
        <f>요약!$V12</f>
        <v>1409</v>
      </c>
      <c r="Q9" s="181">
        <f t="shared" ref="Q9" si="28">+P9/P$4</f>
        <v>0.7840845854201447</v>
      </c>
      <c r="T9" s="181">
        <f t="shared" si="6"/>
        <v>1.5185185185185186</v>
      </c>
      <c r="U9" s="23">
        <f t="shared" si="13"/>
        <v>3436.4074074074074</v>
      </c>
      <c r="V9" s="181">
        <f t="shared" si="0"/>
        <v>0.79498703543647364</v>
      </c>
      <c r="W9" s="181">
        <f t="shared" si="14"/>
        <v>0.28936905790838374</v>
      </c>
      <c r="X9" s="23">
        <f t="shared" si="7"/>
        <v>1799.0556611927398</v>
      </c>
      <c r="Y9" s="181">
        <f t="shared" si="8"/>
        <v>1.3657681349989041</v>
      </c>
      <c r="Z9" s="23">
        <f t="shared" si="19"/>
        <v>1906.0155574762316</v>
      </c>
      <c r="AA9" s="181">
        <f t="shared" si="20"/>
        <v>0.84225168249060167</v>
      </c>
    </row>
    <row r="10" spans="1:27" ht="16.5" customHeight="1" x14ac:dyDescent="0.25">
      <c r="A10" s="182">
        <f>+요약!N13</f>
        <v>7</v>
      </c>
      <c r="B10" s="23">
        <f>+요약!O13</f>
        <v>5148</v>
      </c>
      <c r="C10" s="181">
        <f t="shared" si="1"/>
        <v>0.68557730723132237</v>
      </c>
      <c r="D10" s="23">
        <f>+요약!P13</f>
        <v>661</v>
      </c>
      <c r="E10" s="181">
        <f t="shared" si="1"/>
        <v>0.78224852071005913</v>
      </c>
      <c r="F10" s="23">
        <f>요약!Q13</f>
        <v>1498</v>
      </c>
      <c r="G10" s="181">
        <f t="shared" ref="G10:I10" si="29">+F10/F$4</f>
        <v>1.8493827160493828</v>
      </c>
      <c r="H10" s="23">
        <f>요약!$R13</f>
        <v>1617</v>
      </c>
      <c r="I10" s="181">
        <f t="shared" si="29"/>
        <v>0.84218749999999998</v>
      </c>
      <c r="J10" s="23">
        <f>요약!$S13</f>
        <v>976</v>
      </c>
      <c r="K10" s="181">
        <f t="shared" ref="K10:M10" si="30">+J10/J$4</f>
        <v>0.46698564593301434</v>
      </c>
      <c r="L10" s="23">
        <f>요약!$T13</f>
        <v>2327</v>
      </c>
      <c r="M10" s="181">
        <f t="shared" si="30"/>
        <v>0.40224719101123596</v>
      </c>
      <c r="N10" s="23">
        <f>요약!$U13</f>
        <v>829</v>
      </c>
      <c r="O10" s="181">
        <f t="shared" ref="O10" si="31">+N10/N$4</f>
        <v>0.83737373737373733</v>
      </c>
      <c r="P10" s="23">
        <f>요약!$V13</f>
        <v>1776</v>
      </c>
      <c r="Q10" s="181">
        <f t="shared" ref="Q10" si="32">+P10/P$4</f>
        <v>0.98831385642737901</v>
      </c>
      <c r="T10" s="181">
        <f t="shared" si="6"/>
        <v>1.8493827160493828</v>
      </c>
      <c r="U10" s="23">
        <f t="shared" si="13"/>
        <v>4185.153086419753</v>
      </c>
      <c r="V10" s="181">
        <f t="shared" si="0"/>
        <v>0.40224719101123596</v>
      </c>
      <c r="W10" s="181">
        <f t="shared" si="14"/>
        <v>-0.39273984442523768</v>
      </c>
      <c r="X10" s="23">
        <f t="shared" si="7"/>
        <v>910.28539325842701</v>
      </c>
      <c r="Y10" s="181">
        <f t="shared" si="8"/>
        <v>1.3158156183797209</v>
      </c>
      <c r="Z10" s="23">
        <f t="shared" si="19"/>
        <v>1017.2452895419187</v>
      </c>
      <c r="AA10" s="181">
        <f t="shared" si="20"/>
        <v>0.44951183806536399</v>
      </c>
    </row>
    <row r="11" spans="1:27" ht="16.5" customHeight="1" x14ac:dyDescent="0.25">
      <c r="A11" s="182">
        <f>+요약!N14</f>
        <v>8</v>
      </c>
      <c r="B11" s="23">
        <f>+요약!O14</f>
        <v>3005</v>
      </c>
      <c r="C11" s="181">
        <f t="shared" si="1"/>
        <v>0.40018644293514449</v>
      </c>
      <c r="D11" s="23">
        <f>+요약!P14</f>
        <v>785</v>
      </c>
      <c r="E11" s="181">
        <f t="shared" si="1"/>
        <v>0.92899408284023666</v>
      </c>
      <c r="F11" s="23">
        <f>요약!Q14</f>
        <v>2045</v>
      </c>
      <c r="G11" s="181">
        <f t="shared" ref="G11:I11" si="33">+F11/F$4</f>
        <v>2.5246913580246915</v>
      </c>
      <c r="H11" s="23">
        <f>요약!$R14</f>
        <v>1247</v>
      </c>
      <c r="I11" s="181">
        <f t="shared" si="33"/>
        <v>0.64947916666666672</v>
      </c>
      <c r="J11" s="23">
        <f>요약!$S14</f>
        <v>1266</v>
      </c>
      <c r="K11" s="181">
        <f t="shared" ref="K11:M11" si="34">+J11/J$4</f>
        <v>0.60574162679425836</v>
      </c>
      <c r="L11" s="23">
        <f>요약!$T14</f>
        <v>2548</v>
      </c>
      <c r="M11" s="181">
        <f t="shared" si="34"/>
        <v>0.44044943820224719</v>
      </c>
      <c r="N11" s="23">
        <f>요약!$U14</f>
        <v>837</v>
      </c>
      <c r="O11" s="181">
        <f t="shared" ref="O11" si="35">+N11/N$4</f>
        <v>0.84545454545454546</v>
      </c>
      <c r="P11" s="23">
        <f>요약!$V14</f>
        <v>1840</v>
      </c>
      <c r="Q11" s="181">
        <f t="shared" ref="Q11" si="36">+P11/P$4</f>
        <v>1.0239287701725097</v>
      </c>
      <c r="T11" s="181">
        <f t="shared" si="6"/>
        <v>2.5246913580246915</v>
      </c>
      <c r="U11" s="23">
        <f t="shared" si="13"/>
        <v>5713.3765432098771</v>
      </c>
      <c r="V11" s="181">
        <f t="shared" si="0"/>
        <v>0.44044943820224719</v>
      </c>
      <c r="W11" s="181">
        <f t="shared" si="14"/>
        <v>3.8202247191011229E-2</v>
      </c>
      <c r="X11" s="23">
        <f t="shared" si="7"/>
        <v>996.73707865168535</v>
      </c>
      <c r="Y11" s="181">
        <f t="shared" si="8"/>
        <v>1.7268427204324641</v>
      </c>
      <c r="Z11" s="23">
        <f t="shared" si="19"/>
        <v>1103.6969749351772</v>
      </c>
      <c r="AA11" s="181">
        <f t="shared" si="20"/>
        <v>0.48771408525637522</v>
      </c>
    </row>
    <row r="12" spans="1:27" ht="16.5" customHeight="1" x14ac:dyDescent="0.25">
      <c r="A12" s="182">
        <f>+요약!N15</f>
        <v>9</v>
      </c>
      <c r="B12" s="23">
        <f>+요약!O15</f>
        <v>2201</v>
      </c>
      <c r="C12" s="181">
        <f t="shared" si="1"/>
        <v>0.29311492875216405</v>
      </c>
      <c r="D12" s="23">
        <f>+요약!P15</f>
        <v>815</v>
      </c>
      <c r="E12" s="181">
        <f t="shared" si="1"/>
        <v>0.96449704142011838</v>
      </c>
      <c r="F12" s="23">
        <f>요약!Q15</f>
        <v>2005</v>
      </c>
      <c r="G12" s="181">
        <f t="shared" ref="G12:I12" si="37">+F12/F$4</f>
        <v>2.4753086419753085</v>
      </c>
      <c r="H12" s="23">
        <f>요약!$R15</f>
        <v>2015</v>
      </c>
      <c r="I12" s="181">
        <f t="shared" si="37"/>
        <v>1.0494791666666667</v>
      </c>
      <c r="J12" s="23">
        <f>요약!$S15</f>
        <v>1185</v>
      </c>
      <c r="K12" s="181">
        <f t="shared" ref="K12:M12" si="38">+J12/J$4</f>
        <v>0.56698564593301437</v>
      </c>
      <c r="L12" s="23">
        <f>요약!$T15</f>
        <v>2430</v>
      </c>
      <c r="M12" s="181">
        <f t="shared" si="38"/>
        <v>0.42005185825410546</v>
      </c>
      <c r="N12" s="23">
        <f>요약!$U15</f>
        <v>1167</v>
      </c>
      <c r="O12" s="181">
        <f t="shared" ref="O12" si="39">+N12/N$4</f>
        <v>1.1787878787878787</v>
      </c>
      <c r="P12" s="23">
        <f>요약!$V15</f>
        <v>1918</v>
      </c>
      <c r="Q12" s="181">
        <f t="shared" ref="Q12" si="40">+P12/P$4</f>
        <v>1.0673344462993879</v>
      </c>
      <c r="T12" s="181">
        <f t="shared" si="6"/>
        <v>2.4753086419753085</v>
      </c>
      <c r="U12" s="23">
        <f t="shared" si="13"/>
        <v>5601.6234567901229</v>
      </c>
      <c r="V12" s="181">
        <f t="shared" si="0"/>
        <v>0.42005185825410546</v>
      </c>
      <c r="W12" s="181">
        <f t="shared" si="14"/>
        <v>-2.0397579948141731E-2</v>
      </c>
      <c r="X12" s="23">
        <f t="shared" si="7"/>
        <v>950.57735522904068</v>
      </c>
      <c r="Y12" s="181">
        <f t="shared" si="8"/>
        <v>1.7199028416977136</v>
      </c>
      <c r="Z12" s="23">
        <f t="shared" si="19"/>
        <v>1057.5372515125323</v>
      </c>
      <c r="AA12" s="181">
        <f t="shared" si="20"/>
        <v>0.46731650530823349</v>
      </c>
    </row>
    <row r="13" spans="1:27" ht="16.5" customHeight="1" x14ac:dyDescent="0.25">
      <c r="A13" s="182">
        <f>+요약!N16</f>
        <v>10</v>
      </c>
      <c r="B13" s="23">
        <f>+요약!O16</f>
        <v>1566</v>
      </c>
      <c r="C13" s="181">
        <f t="shared" si="1"/>
        <v>0.20854974031162604</v>
      </c>
      <c r="D13" s="23">
        <f>+요약!P16</f>
        <v>1129</v>
      </c>
      <c r="E13" s="181">
        <f t="shared" si="1"/>
        <v>1.336094674556213</v>
      </c>
      <c r="F13" s="23">
        <f>요약!Q16</f>
        <v>1412</v>
      </c>
      <c r="G13" s="181">
        <f t="shared" ref="G13:I13" si="41">+F13/F$4</f>
        <v>1.7432098765432098</v>
      </c>
      <c r="H13" s="23">
        <f>요약!$R16</f>
        <v>1690</v>
      </c>
      <c r="I13" s="181">
        <f t="shared" si="41"/>
        <v>0.88020833333333337</v>
      </c>
      <c r="J13" s="23">
        <f>요약!$S16</f>
        <v>1561</v>
      </c>
      <c r="K13" s="181">
        <f t="shared" ref="K13:M13" si="42">+J13/J$4</f>
        <v>0.74688995215311005</v>
      </c>
      <c r="L13" s="23">
        <f>요약!$T16</f>
        <v>2379</v>
      </c>
      <c r="M13" s="181">
        <f t="shared" si="42"/>
        <v>0.41123595505617977</v>
      </c>
      <c r="N13" s="23">
        <f>요약!$U16</f>
        <v>1141</v>
      </c>
      <c r="O13" s="181">
        <f t="shared" ref="O13" si="43">+N13/N$4</f>
        <v>1.1525252525252525</v>
      </c>
      <c r="P13" s="23">
        <f>요약!$V16</f>
        <v>1621</v>
      </c>
      <c r="Q13" s="181">
        <f t="shared" ref="Q13" si="44">+P13/P$4</f>
        <v>0.90205898720089039</v>
      </c>
      <c r="T13" s="181">
        <f t="shared" si="6"/>
        <v>1.7432098765432098</v>
      </c>
      <c r="U13" s="23">
        <f t="shared" si="13"/>
        <v>3944.883950617284</v>
      </c>
      <c r="V13" s="181">
        <f t="shared" si="0"/>
        <v>0.41123595505617977</v>
      </c>
      <c r="W13" s="181">
        <f t="shared" si="14"/>
        <v>-8.8159031979256897E-3</v>
      </c>
      <c r="X13" s="23">
        <f t="shared" si="7"/>
        <v>930.62696629213485</v>
      </c>
      <c r="Y13" s="181">
        <f t="shared" si="8"/>
        <v>1.5396522755497113</v>
      </c>
      <c r="Z13" s="23">
        <f t="shared" si="19"/>
        <v>1037.5868625756266</v>
      </c>
      <c r="AA13" s="181">
        <f t="shared" si="20"/>
        <v>0.4585006021103078</v>
      </c>
    </row>
    <row r="14" spans="1:27" ht="16.5" customHeight="1" x14ac:dyDescent="0.25">
      <c r="A14" s="182">
        <f>+요약!N17</f>
        <v>11</v>
      </c>
      <c r="B14" s="23">
        <f>+요약!O17</f>
        <v>1467</v>
      </c>
      <c r="C14" s="181">
        <f t="shared" si="1"/>
        <v>0.19536556132640831</v>
      </c>
      <c r="D14" s="23">
        <f>+요약!P17</f>
        <v>1744</v>
      </c>
      <c r="E14" s="181">
        <f t="shared" si="1"/>
        <v>2.0639053254437871</v>
      </c>
      <c r="F14" s="23">
        <f>요약!Q17</f>
        <v>1113</v>
      </c>
      <c r="G14" s="181">
        <f t="shared" ref="G14:I14" si="45">+F14/F$4</f>
        <v>1.374074074074074</v>
      </c>
      <c r="H14" s="23">
        <f>요약!$R17</f>
        <v>1593</v>
      </c>
      <c r="I14" s="181">
        <f t="shared" si="45"/>
        <v>0.82968750000000002</v>
      </c>
      <c r="J14" s="23">
        <f>요약!$S17</f>
        <v>1742</v>
      </c>
      <c r="K14" s="181">
        <f t="shared" ref="K14:M14" si="46">+J14/J$4</f>
        <v>0.83349282296650717</v>
      </c>
      <c r="L14" s="23">
        <f>요약!$T17</f>
        <v>1625</v>
      </c>
      <c r="M14" s="181">
        <f t="shared" si="46"/>
        <v>0.2808988764044944</v>
      </c>
      <c r="N14" s="23">
        <f>요약!$U17</f>
        <v>1655</v>
      </c>
      <c r="O14" s="181">
        <f t="shared" ref="O14" si="47">+N14/N$4</f>
        <v>1.6717171717171717</v>
      </c>
      <c r="P14" s="23">
        <f>요약!$V17</f>
        <v>1962</v>
      </c>
      <c r="Q14" s="181">
        <f t="shared" ref="Q14" si="48">+P14/P$4</f>
        <v>1.0918196994991654</v>
      </c>
      <c r="T14" s="181">
        <f t="shared" si="6"/>
        <v>1.374074074074074</v>
      </c>
      <c r="U14" s="23">
        <f t="shared" si="13"/>
        <v>3109.5296296296297</v>
      </c>
      <c r="V14" s="181">
        <f t="shared" si="0"/>
        <v>0.2808988764044944</v>
      </c>
      <c r="W14" s="181">
        <f t="shared" si="14"/>
        <v>-0.13033707865168537</v>
      </c>
      <c r="X14" s="23">
        <f t="shared" si="7"/>
        <v>635.67415730337086</v>
      </c>
      <c r="Y14" s="181">
        <f t="shared" si="8"/>
        <v>1.7189896997589305</v>
      </c>
      <c r="Z14" s="23">
        <f t="shared" si="19"/>
        <v>742.63405358686259</v>
      </c>
      <c r="AA14" s="181">
        <f t="shared" si="20"/>
        <v>0.32816352345862243</v>
      </c>
    </row>
    <row r="15" spans="1:27" ht="16.5" customHeight="1" x14ac:dyDescent="0.25">
      <c r="A15" s="182">
        <f>+요약!N18</f>
        <v>12</v>
      </c>
      <c r="B15" s="23">
        <f>+요약!O18</f>
        <v>1924</v>
      </c>
      <c r="C15" s="181">
        <f t="shared" si="1"/>
        <v>0.25622586229857502</v>
      </c>
      <c r="D15" s="23">
        <f>+요약!P18</f>
        <v>2410</v>
      </c>
      <c r="E15" s="181">
        <f t="shared" si="1"/>
        <v>2.8520710059171597</v>
      </c>
      <c r="F15" s="23">
        <f>요약!Q18</f>
        <v>1483</v>
      </c>
      <c r="G15" s="181">
        <f t="shared" ref="G15:I15" si="49">+F15/F$4</f>
        <v>1.8308641975308642</v>
      </c>
      <c r="H15" s="23">
        <f>요약!$R18</f>
        <v>1920</v>
      </c>
      <c r="I15" s="181">
        <f t="shared" si="49"/>
        <v>1</v>
      </c>
      <c r="J15" s="23">
        <f>요약!$S18</f>
        <v>1556</v>
      </c>
      <c r="K15" s="181">
        <f t="shared" ref="K15:M15" si="50">+J15/J$4</f>
        <v>0.74449760765550244</v>
      </c>
      <c r="L15" s="23">
        <f>요약!$T18</f>
        <v>1938</v>
      </c>
      <c r="M15" s="181">
        <f t="shared" si="50"/>
        <v>0.33500432152117543</v>
      </c>
      <c r="N15" s="23">
        <f>요약!$U18</f>
        <v>1748</v>
      </c>
      <c r="O15" s="181">
        <f t="shared" ref="O15" si="51">+N15/N$4</f>
        <v>1.7656565656565657</v>
      </c>
      <c r="P15" s="23">
        <f>요약!$V18</f>
        <v>2453</v>
      </c>
      <c r="Q15" s="181">
        <f t="shared" ref="Q15" si="52">+P15/P$4</f>
        <v>1.3650528658875904</v>
      </c>
      <c r="T15" s="181">
        <f t="shared" si="6"/>
        <v>1.8308641975308642</v>
      </c>
      <c r="U15" s="23">
        <f t="shared" si="13"/>
        <v>4143.2456790123451</v>
      </c>
      <c r="V15" s="181">
        <f t="shared" si="0"/>
        <v>0.33500432152117543</v>
      </c>
      <c r="W15" s="181">
        <f t="shared" si="14"/>
        <v>5.4105445116681028E-2</v>
      </c>
      <c r="X15" s="23">
        <f t="shared" si="7"/>
        <v>758.11477960241996</v>
      </c>
      <c r="Y15" s="181">
        <f t="shared" si="8"/>
        <v>2.3414676017240117</v>
      </c>
      <c r="Z15" s="23">
        <f t="shared" si="19"/>
        <v>865.07467588591169</v>
      </c>
      <c r="AA15" s="181">
        <f t="shared" si="20"/>
        <v>0.38226896857530346</v>
      </c>
    </row>
    <row r="16" spans="1:27" ht="16.5" customHeight="1" x14ac:dyDescent="0.25">
      <c r="A16" s="183">
        <f>+요약!N19</f>
        <v>13</v>
      </c>
      <c r="B16" s="184">
        <f>+요약!O19</f>
        <v>1795</v>
      </c>
      <c r="C16" s="185">
        <f t="shared" si="1"/>
        <v>0.23904647756026101</v>
      </c>
      <c r="D16" s="184">
        <f>+요약!P19</f>
        <v>1753</v>
      </c>
      <c r="E16" s="185">
        <f t="shared" si="1"/>
        <v>2.0745562130177513</v>
      </c>
      <c r="F16" s="184">
        <f>요약!Q19</f>
        <v>2722</v>
      </c>
      <c r="G16" s="185">
        <f t="shared" ref="G16:I16" si="53">+F16/F$4</f>
        <v>3.3604938271604938</v>
      </c>
      <c r="H16" s="184">
        <f>요약!$R19</f>
        <v>2218</v>
      </c>
      <c r="I16" s="185">
        <f t="shared" si="53"/>
        <v>1.1552083333333334</v>
      </c>
      <c r="J16" s="184">
        <f>요약!$S19</f>
        <v>1535</v>
      </c>
      <c r="K16" s="185">
        <f t="shared" ref="K16:M16" si="54">+J16/J$4</f>
        <v>0.73444976076555024</v>
      </c>
      <c r="L16" s="184">
        <f>요약!$T19</f>
        <v>3138</v>
      </c>
      <c r="M16" s="185">
        <f t="shared" si="54"/>
        <v>0.5424373379429559</v>
      </c>
      <c r="N16" s="184">
        <f>요약!$U19</f>
        <v>2669</v>
      </c>
      <c r="O16" s="185">
        <f t="shared" ref="O16" si="55">+N16/N$4</f>
        <v>2.6959595959595961</v>
      </c>
      <c r="P16" s="184">
        <f>요약!$V19</f>
        <v>3403</v>
      </c>
      <c r="Q16" s="185">
        <f t="shared" ref="Q16" si="56">+P16/P$4</f>
        <v>1.8937117417918754</v>
      </c>
      <c r="R16" s="186"/>
      <c r="S16" s="186"/>
      <c r="T16" s="185">
        <f t="shared" si="6"/>
        <v>3.3604938271604938</v>
      </c>
      <c r="U16" s="184">
        <f t="shared" si="13"/>
        <v>7604.7975308641971</v>
      </c>
      <c r="V16" s="185">
        <f t="shared" si="0"/>
        <v>0.5424373379429559</v>
      </c>
      <c r="W16" s="185">
        <f t="shared" si="14"/>
        <v>0.20743301642178047</v>
      </c>
      <c r="X16" s="184">
        <f t="shared" si="7"/>
        <v>1227.5356957649092</v>
      </c>
      <c r="Y16" s="185">
        <f t="shared" si="8"/>
        <v>2.7175250200891226</v>
      </c>
      <c r="Z16" s="184">
        <f t="shared" si="19"/>
        <v>1334.495592048401</v>
      </c>
      <c r="AA16" s="181">
        <f t="shared" si="20"/>
        <v>0.58970198499708393</v>
      </c>
    </row>
    <row r="17" spans="1:26" ht="16.5" customHeight="1" x14ac:dyDescent="0.25">
      <c r="A17" s="182">
        <f>+요약!N20</f>
        <v>14</v>
      </c>
      <c r="B17" s="23">
        <f>+요약!O20</f>
        <v>2510</v>
      </c>
      <c r="C17" s="181">
        <f t="shared" si="1"/>
        <v>0.33426554800905578</v>
      </c>
      <c r="D17" s="23">
        <f>+요약!P20</f>
        <v>0</v>
      </c>
      <c r="E17" s="181">
        <f t="shared" si="1"/>
        <v>0</v>
      </c>
      <c r="F17" s="23">
        <f>요약!Q20</f>
        <v>3007</v>
      </c>
      <c r="G17" s="181">
        <f t="shared" ref="G17:I17" si="57">+F17/F$4</f>
        <v>3.7123456790123455</v>
      </c>
      <c r="H17" s="23">
        <f>요약!$R20</f>
        <v>3530</v>
      </c>
      <c r="I17" s="181">
        <f t="shared" si="57"/>
        <v>1.8385416666666667</v>
      </c>
      <c r="J17" s="23">
        <f>요약!$S20</f>
        <v>1921</v>
      </c>
      <c r="K17" s="181">
        <f t="shared" ref="K17:M17" si="58">+J17/J$4</f>
        <v>0.91913875598086126</v>
      </c>
      <c r="L17" s="23">
        <f>요약!$T20</f>
        <v>1936</v>
      </c>
      <c r="M17" s="181">
        <f t="shared" si="58"/>
        <v>0.33465859982713914</v>
      </c>
      <c r="N17" s="23">
        <f>요약!$U20</f>
        <v>2474</v>
      </c>
      <c r="O17" s="181">
        <f t="shared" ref="O17" si="59">+N17/N$4</f>
        <v>2.4989898989898989</v>
      </c>
      <c r="P17" s="23">
        <f>요약!$V20</f>
        <v>4035</v>
      </c>
      <c r="Q17" s="181">
        <f t="shared" ref="Q17" si="60">+P17/P$4</f>
        <v>2.2454090150250416</v>
      </c>
      <c r="T17" s="181">
        <f t="shared" si="6"/>
        <v>3.7123456790123455</v>
      </c>
      <c r="V17" s="181">
        <f t="shared" si="0"/>
        <v>0.33465859982713914</v>
      </c>
      <c r="W17" s="181"/>
      <c r="X17" s="181"/>
      <c r="Y17" s="181">
        <f t="shared" si="8"/>
        <v>1.8561728395061727</v>
      </c>
      <c r="Z17" s="181"/>
    </row>
    <row r="18" spans="1:26" ht="16.5" customHeight="1" x14ac:dyDescent="0.25">
      <c r="A18" s="182">
        <f>+요약!N21</f>
        <v>15</v>
      </c>
      <c r="B18" s="23">
        <f>+요약!O21</f>
        <v>4033</v>
      </c>
      <c r="C18" s="181">
        <f t="shared" si="1"/>
        <v>0.53708882674124381</v>
      </c>
      <c r="D18" s="23">
        <f>+요약!P21</f>
        <v>0</v>
      </c>
      <c r="E18" s="181">
        <f t="shared" si="1"/>
        <v>0</v>
      </c>
      <c r="F18" s="23">
        <f>요약!Q21</f>
        <v>2991</v>
      </c>
      <c r="G18" s="181">
        <f t="shared" ref="G18:I18" si="61">+F18/F$4</f>
        <v>3.6925925925925926</v>
      </c>
      <c r="H18" s="23">
        <f>요약!$R21</f>
        <v>1132</v>
      </c>
      <c r="I18" s="181">
        <f t="shared" si="61"/>
        <v>0.58958333333333335</v>
      </c>
      <c r="J18" s="23">
        <f>요약!$S21</f>
        <v>1893</v>
      </c>
      <c r="K18" s="181">
        <f t="shared" ref="K18:M18" si="62">+J18/J$4</f>
        <v>0.9057416267942584</v>
      </c>
      <c r="L18" s="23">
        <f>요약!$T21</f>
        <v>0</v>
      </c>
      <c r="M18" s="181">
        <f t="shared" si="62"/>
        <v>0</v>
      </c>
      <c r="N18" s="23">
        <f>요약!$U21</f>
        <v>0</v>
      </c>
      <c r="O18" s="181">
        <f t="shared" ref="O18" si="63">+N18/N$4</f>
        <v>0</v>
      </c>
      <c r="P18" s="23">
        <f>요약!$V21</f>
        <v>0</v>
      </c>
      <c r="Q18" s="181">
        <f t="shared" ref="Q18" si="64">+P18/P$4</f>
        <v>0</v>
      </c>
      <c r="V18" s="181">
        <f t="shared" si="0"/>
        <v>0</v>
      </c>
      <c r="W18" s="181"/>
      <c r="X18" s="181"/>
      <c r="Y18" s="181">
        <f t="shared" si="8"/>
        <v>1.8462962962962963</v>
      </c>
      <c r="Z18" s="181"/>
    </row>
    <row r="19" spans="1:26" ht="16.5" customHeight="1" x14ac:dyDescent="0.25">
      <c r="A19" s="182">
        <f>+요약!N22</f>
        <v>16</v>
      </c>
      <c r="B19" s="23">
        <f>+요약!O22</f>
        <v>6178</v>
      </c>
      <c r="C19" s="181">
        <f t="shared" si="1"/>
        <v>0.82274603808762814</v>
      </c>
      <c r="D19" s="23">
        <f>+요약!P22</f>
        <v>0</v>
      </c>
      <c r="E19" s="181">
        <f t="shared" si="1"/>
        <v>0</v>
      </c>
      <c r="F19" s="23">
        <f>요약!Q22</f>
        <v>0</v>
      </c>
      <c r="G19" s="181">
        <f t="shared" ref="G19:I19" si="65">+F19/F$4</f>
        <v>0</v>
      </c>
      <c r="H19" s="23">
        <f>요약!$R22</f>
        <v>0</v>
      </c>
      <c r="I19" s="181">
        <f t="shared" si="65"/>
        <v>0</v>
      </c>
      <c r="J19" s="23">
        <f>요약!$S22</f>
        <v>0</v>
      </c>
      <c r="K19" s="181">
        <f t="shared" ref="K19:M19" si="66">+J19/J$4</f>
        <v>0</v>
      </c>
      <c r="L19" s="23">
        <f>요약!$T22</f>
        <v>0</v>
      </c>
      <c r="M19" s="181">
        <f t="shared" si="66"/>
        <v>0</v>
      </c>
      <c r="N19" s="23">
        <f>요약!$U22</f>
        <v>0</v>
      </c>
      <c r="O19" s="181">
        <f t="shared" ref="O19" si="67">+N19/N$4</f>
        <v>0</v>
      </c>
      <c r="P19" s="23">
        <f>요약!$V22</f>
        <v>0</v>
      </c>
      <c r="Q19" s="181">
        <f t="shared" ref="Q19" si="68">+P19/P$4</f>
        <v>0</v>
      </c>
      <c r="V19" s="181">
        <f t="shared" si="0"/>
        <v>0</v>
      </c>
      <c r="W19" s="181"/>
      <c r="X19" s="181"/>
      <c r="Y19" s="181">
        <f t="shared" si="8"/>
        <v>0</v>
      </c>
      <c r="Z19" s="181"/>
    </row>
    <row r="20" spans="1:26" ht="16.5" customHeight="1" x14ac:dyDescent="0.25">
      <c r="A20" s="182">
        <f>+요약!N23</f>
        <v>17</v>
      </c>
      <c r="B20" s="23">
        <f>+요약!O23</f>
        <v>8602</v>
      </c>
      <c r="C20" s="181">
        <f t="shared" si="1"/>
        <v>1.1455586629378081</v>
      </c>
      <c r="D20" s="23">
        <f>+요약!P23</f>
        <v>0</v>
      </c>
      <c r="E20" s="181">
        <f t="shared" si="1"/>
        <v>0</v>
      </c>
      <c r="F20" s="23">
        <f>요약!Q23</f>
        <v>0</v>
      </c>
      <c r="G20" s="181">
        <f t="shared" ref="G20:I20" si="69">+F20/F$4</f>
        <v>0</v>
      </c>
      <c r="H20" s="23">
        <f>요약!$R23</f>
        <v>0</v>
      </c>
      <c r="I20" s="181">
        <f t="shared" si="69"/>
        <v>0</v>
      </c>
      <c r="J20" s="23">
        <f>요약!$S23</f>
        <v>0</v>
      </c>
      <c r="K20" s="181">
        <f t="shared" ref="K20:M20" si="70">+J20/J$4</f>
        <v>0</v>
      </c>
      <c r="L20" s="23">
        <f>요약!$T23</f>
        <v>0</v>
      </c>
      <c r="M20" s="181">
        <f t="shared" si="70"/>
        <v>0</v>
      </c>
      <c r="N20" s="23">
        <f>요약!$U23</f>
        <v>0</v>
      </c>
      <c r="O20" s="181">
        <f t="shared" ref="O20" si="71">+N20/N$4</f>
        <v>0</v>
      </c>
      <c r="P20" s="23">
        <f>요약!$V23</f>
        <v>0</v>
      </c>
      <c r="Q20" s="181">
        <f t="shared" ref="Q20" si="72">+P20/P$4</f>
        <v>0</v>
      </c>
      <c r="V20" s="181">
        <f t="shared" si="0"/>
        <v>0</v>
      </c>
      <c r="W20" s="181"/>
      <c r="X20" s="181"/>
      <c r="Y20" s="181">
        <f t="shared" si="8"/>
        <v>0</v>
      </c>
      <c r="Z20" s="181"/>
    </row>
    <row r="21" spans="1:26" ht="16.5" customHeight="1" x14ac:dyDescent="0.25">
      <c r="A21" s="182">
        <f>+요약!N24</f>
        <v>18</v>
      </c>
      <c r="B21" s="23">
        <f>+요약!O24</f>
        <v>9607</v>
      </c>
      <c r="C21" s="181">
        <f t="shared" si="1"/>
        <v>1.2793980556665334</v>
      </c>
      <c r="D21" s="23">
        <f>+요약!P24</f>
        <v>0</v>
      </c>
      <c r="E21" s="181">
        <f t="shared" si="1"/>
        <v>0</v>
      </c>
      <c r="F21" s="23">
        <f>요약!Q24</f>
        <v>0</v>
      </c>
      <c r="G21" s="181">
        <f t="shared" ref="G21:I21" si="73">+F21/F$4</f>
        <v>0</v>
      </c>
      <c r="H21" s="23">
        <f>요약!$R24</f>
        <v>0</v>
      </c>
      <c r="I21" s="181">
        <f t="shared" si="73"/>
        <v>0</v>
      </c>
      <c r="J21" s="23">
        <f>요약!$S24</f>
        <v>0</v>
      </c>
      <c r="K21" s="181">
        <f t="shared" ref="K21:M21" si="74">+J21/J$4</f>
        <v>0</v>
      </c>
      <c r="L21" s="23">
        <f>요약!$T24</f>
        <v>0</v>
      </c>
      <c r="M21" s="181">
        <f t="shared" si="74"/>
        <v>0</v>
      </c>
      <c r="N21" s="23">
        <f>요약!$U24</f>
        <v>0</v>
      </c>
      <c r="O21" s="181">
        <f t="shared" ref="O21" si="75">+N21/N$4</f>
        <v>0</v>
      </c>
      <c r="P21" s="23">
        <f>요약!$V24</f>
        <v>0</v>
      </c>
      <c r="Q21" s="181">
        <f t="shared" ref="Q21" si="76">+P21/P$4</f>
        <v>0</v>
      </c>
      <c r="V21" s="181">
        <f t="shared" si="0"/>
        <v>0</v>
      </c>
      <c r="W21" s="181"/>
      <c r="X21" s="181"/>
      <c r="Y21" s="181">
        <f t="shared" si="8"/>
        <v>0</v>
      </c>
      <c r="Z21" s="181"/>
    </row>
    <row r="22" spans="1:26" ht="16.5" customHeight="1" x14ac:dyDescent="0.25">
      <c r="A22" s="182">
        <f>+요약!N25</f>
        <v>19</v>
      </c>
      <c r="B22" s="23">
        <f>+요약!O25</f>
        <v>6419</v>
      </c>
      <c r="C22" s="181">
        <f t="shared" si="1"/>
        <v>0.85484085763750162</v>
      </c>
      <c r="D22" s="23">
        <f>+요약!P25</f>
        <v>0</v>
      </c>
      <c r="E22" s="181">
        <f t="shared" si="1"/>
        <v>0</v>
      </c>
      <c r="F22" s="23">
        <f>요약!Q25</f>
        <v>0</v>
      </c>
      <c r="G22" s="181">
        <f t="shared" ref="G22:I22" si="77">+F22/F$4</f>
        <v>0</v>
      </c>
      <c r="H22" s="23">
        <f>요약!$R25</f>
        <v>0</v>
      </c>
      <c r="I22" s="181">
        <f t="shared" si="77"/>
        <v>0</v>
      </c>
      <c r="J22" s="23">
        <f>요약!$S25</f>
        <v>0</v>
      </c>
      <c r="K22" s="181">
        <f t="shared" ref="K22:M22" si="78">+J22/J$4</f>
        <v>0</v>
      </c>
      <c r="L22" s="23">
        <f>요약!$T25</f>
        <v>0</v>
      </c>
      <c r="M22" s="181">
        <f t="shared" si="78"/>
        <v>0</v>
      </c>
      <c r="N22" s="23">
        <f>요약!$U25</f>
        <v>0</v>
      </c>
      <c r="O22" s="181">
        <f t="shared" ref="O22" si="79">+N22/N$4</f>
        <v>0</v>
      </c>
      <c r="P22" s="23">
        <f>요약!$V25</f>
        <v>0</v>
      </c>
      <c r="Q22" s="181">
        <f t="shared" ref="Q22" si="80">+P22/P$4</f>
        <v>0</v>
      </c>
      <c r="V22" s="181">
        <f t="shared" si="0"/>
        <v>0</v>
      </c>
      <c r="W22" s="181"/>
      <c r="X22" s="181"/>
      <c r="Y22" s="181">
        <f t="shared" si="8"/>
        <v>0</v>
      </c>
      <c r="Z22" s="181"/>
    </row>
    <row r="23" spans="1:26" ht="16.5" customHeight="1" x14ac:dyDescent="0.25">
      <c r="A23" s="182">
        <f>+요약!N26</f>
        <v>20</v>
      </c>
      <c r="B23" s="23">
        <f>+요약!O26</f>
        <v>6813</v>
      </c>
      <c r="C23" s="181">
        <f t="shared" si="1"/>
        <v>0.9073112265281662</v>
      </c>
      <c r="D23" s="23">
        <f>+요약!P26</f>
        <v>0</v>
      </c>
      <c r="E23" s="181">
        <f t="shared" si="1"/>
        <v>0</v>
      </c>
      <c r="F23" s="23">
        <f>요약!Q26</f>
        <v>0</v>
      </c>
      <c r="G23" s="181">
        <f t="shared" ref="G23:I23" si="81">+F23/F$4</f>
        <v>0</v>
      </c>
      <c r="H23" s="23">
        <f>요약!$R26</f>
        <v>0</v>
      </c>
      <c r="I23" s="181">
        <f t="shared" si="81"/>
        <v>0</v>
      </c>
      <c r="J23" s="23">
        <f>요약!$S26</f>
        <v>0</v>
      </c>
      <c r="K23" s="181">
        <f t="shared" ref="K23:M23" si="82">+J23/J$4</f>
        <v>0</v>
      </c>
      <c r="L23" s="23">
        <f>요약!$T26</f>
        <v>0</v>
      </c>
      <c r="M23" s="181">
        <f t="shared" si="82"/>
        <v>0</v>
      </c>
      <c r="N23" s="23">
        <f>요약!$U26</f>
        <v>0</v>
      </c>
      <c r="O23" s="181">
        <f t="shared" ref="O23" si="83">+N23/N$4</f>
        <v>0</v>
      </c>
      <c r="P23" s="23">
        <f>요약!$V26</f>
        <v>0</v>
      </c>
      <c r="Q23" s="181">
        <f t="shared" ref="Q23" si="84">+P23/P$4</f>
        <v>0</v>
      </c>
      <c r="V23" s="181">
        <f t="shared" si="0"/>
        <v>0</v>
      </c>
      <c r="W23" s="181"/>
      <c r="X23" s="181"/>
      <c r="Y23" s="181">
        <f t="shared" si="8"/>
        <v>0</v>
      </c>
      <c r="Z23" s="181"/>
    </row>
    <row r="24" spans="1:26" ht="16.5" customHeight="1" x14ac:dyDescent="0.25">
      <c r="C24" s="181">
        <f>+SUM(C4:C23)</f>
        <v>13.209748302037555</v>
      </c>
      <c r="E24" s="181">
        <f>+SUM(E4:E23)</f>
        <v>17.908875739644969</v>
      </c>
      <c r="G24" s="181">
        <f>+SUM(G4:G23)</f>
        <v>30.401234567901234</v>
      </c>
      <c r="I24" s="181">
        <f>+SUM(I4:I23)</f>
        <v>15.550520833333332</v>
      </c>
      <c r="K24" s="181">
        <f>+SUM(K4:K23)</f>
        <v>12.053588516746411</v>
      </c>
      <c r="M24" s="181">
        <f>+SUM(M4:M23)</f>
        <v>7.3543647363872084</v>
      </c>
      <c r="O24" s="181">
        <f>+SUM(O4:O23)</f>
        <v>18.123232323232322</v>
      </c>
      <c r="Q24" s="181">
        <f>+SUM(Q4:Q23)</f>
        <v>15.916527545909849</v>
      </c>
    </row>
  </sheetData>
  <mergeCells count="8">
    <mergeCell ref="N2:N3"/>
    <mergeCell ref="P2:P3"/>
    <mergeCell ref="B2:B3"/>
    <mergeCell ref="D2:D3"/>
    <mergeCell ref="F2:F3"/>
    <mergeCell ref="H2:H3"/>
    <mergeCell ref="J2:J3"/>
    <mergeCell ref="L2:L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20</vt:i4>
      </vt:variant>
      <vt:variant>
        <vt:lpstr>이름이 지정된 범위</vt:lpstr>
      </vt:variant>
      <vt:variant>
        <vt:i4>17</vt:i4>
      </vt:variant>
    </vt:vector>
  </HeadingPairs>
  <TitlesOfParts>
    <vt:vector size="37" baseType="lpstr">
      <vt:lpstr>선형그래프</vt:lpstr>
      <vt:lpstr>graph</vt:lpstr>
      <vt:lpstr>b_line</vt:lpstr>
      <vt:lpstr>b_stick</vt:lpstr>
      <vt:lpstr>d_gra</vt:lpstr>
      <vt:lpstr>일자별요약</vt:lpstr>
      <vt:lpstr>별첨_전시별,주차별</vt:lpstr>
      <vt:lpstr>주차별보고</vt:lpstr>
      <vt:lpstr>dashboard</vt:lpstr>
      <vt:lpstr>일자별요약v2</vt:lpstr>
      <vt:lpstr>daily</vt:lpstr>
      <vt:lpstr>주차별보고v2</vt:lpstr>
      <vt:lpstr>graph_사진</vt:lpstr>
      <vt:lpstr>일자별요약 (얼리포함)</vt:lpstr>
      <vt:lpstr>평균관람객</vt:lpstr>
      <vt:lpstr>얼리버드</vt:lpstr>
      <vt:lpstr>브랜드팀</vt:lpstr>
      <vt:lpstr>요약, 유무료</vt:lpstr>
      <vt:lpstr>요약</vt:lpstr>
      <vt:lpstr>1주차대비증감지수</vt:lpstr>
      <vt:lpstr>dashboard!Print_Area</vt:lpstr>
      <vt:lpstr>graph_사진!Print_Area</vt:lpstr>
      <vt:lpstr>일자별요약!Print_Area</vt:lpstr>
      <vt:lpstr>'일자별요약 (얼리포함)'!Print_Area</vt:lpstr>
      <vt:lpstr>일자별요약v2!Print_Area</vt:lpstr>
      <vt:lpstr>주차별보고!Print_Area</vt:lpstr>
      <vt:lpstr>주차별보고v2!Print_Area</vt:lpstr>
      <vt:lpstr>김정기</vt:lpstr>
      <vt:lpstr>드리머</vt:lpstr>
      <vt:lpstr>링크테스트</vt:lpstr>
      <vt:lpstr>마르지엘라</vt:lpstr>
      <vt:lpstr>바스키아</vt:lpstr>
      <vt:lpstr>알렉스</vt:lpstr>
      <vt:lpstr>오스틴_리</vt:lpstr>
      <vt:lpstr>윤협</vt:lpstr>
      <vt:lpstr>제이알</vt:lpstr>
      <vt:lpstr>페어리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USER</cp:lastModifiedBy>
  <cp:lastPrinted>2024-04-08T10:22:18Z</cp:lastPrinted>
  <dcterms:created xsi:type="dcterms:W3CDTF">2024-03-12T05:42:11Z</dcterms:created>
  <dcterms:modified xsi:type="dcterms:W3CDTF">2024-04-13T00:05:09Z</dcterms:modified>
</cp:coreProperties>
</file>