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e1d50b381fa47d5e/Projects/Saphe/Hardware/"/>
    </mc:Choice>
  </mc:AlternateContent>
  <bookViews>
    <workbookView xWindow="0" yWindow="0" windowWidth="28800" windowHeight="13390"/>
  </bookViews>
  <sheets>
    <sheet name="Ark1" sheetId="1" r:id="rId1"/>
    <sheet name="Ark2" sheetId="2" r:id="rId2"/>
  </sheets>
  <definedNames>
    <definedName name="AdvChannels">'Ark1'!$E$5</definedName>
    <definedName name="Broadcast">'Ark1'!$E$6</definedName>
    <definedName name="DCDC">'Ark1'!$F$7</definedName>
    <definedName name="ICPU_Flash">'Ark1'!$M$14</definedName>
    <definedName name="ICRYPTO">'Ark1'!$M$23</definedName>
    <definedName name="ION">'Ark1'!$M$11</definedName>
    <definedName name="IRTC">'Ark1'!$M$12</definedName>
    <definedName name="IRX">'Ark1'!$M$22</definedName>
    <definedName name="ISTART_RX">'Ark1'!$M$21</definedName>
    <definedName name="ISTART_TX">'Ark1'!$M$19</definedName>
    <definedName name="ISTART_X16M">'Ark1'!$M$15</definedName>
    <definedName name="ITX">'Ark1'!$M$18</definedName>
    <definedName name="IX16M">'Ark1'!$M$16</definedName>
    <definedName name="IX32_">'Ark1'!$M$13</definedName>
    <definedName name="IX32k">'Ark1'!$M$13</definedName>
    <definedName name="LFCLKCentral">'Ark1'!$M$34</definedName>
    <definedName name="LFCLKPeripheral">'Ark1'!$M$33</definedName>
    <definedName name="Payload">'Ark1'!$E$4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F17" i="1" l="1"/>
  <c r="G17" i="1" s="1"/>
  <c r="F20" i="1"/>
  <c r="F19" i="1"/>
  <c r="F18" i="1"/>
  <c r="F15" i="1"/>
  <c r="F16" i="1"/>
  <c r="H48" i="1" l="1"/>
  <c r="M11" i="1"/>
  <c r="H17" i="1" s="1"/>
  <c r="I17" i="1" s="1"/>
  <c r="F7" i="1"/>
  <c r="H49" i="1"/>
  <c r="M18" i="1" l="1"/>
  <c r="H40" i="1" s="1"/>
  <c r="I40" i="1" s="1"/>
  <c r="M22" i="1"/>
  <c r="H19" i="1" s="1"/>
  <c r="M21" i="1"/>
  <c r="H18" i="1" s="1"/>
  <c r="M19" i="1"/>
  <c r="E63" i="1"/>
  <c r="E43" i="1"/>
  <c r="I43" i="1" s="1"/>
  <c r="E24" i="1"/>
  <c r="I24" i="1" s="1"/>
  <c r="H42" i="1"/>
  <c r="E39" i="1"/>
  <c r="E38" i="1"/>
  <c r="H38" i="1" l="1"/>
  <c r="I38" i="1" s="1"/>
  <c r="H37" i="1"/>
  <c r="I37" i="1" s="1"/>
  <c r="H39" i="1"/>
  <c r="H14" i="1"/>
  <c r="I14" i="1" s="1"/>
  <c r="H15" i="1"/>
  <c r="E62" i="1"/>
  <c r="E42" i="1"/>
  <c r="I42" i="1" s="1"/>
  <c r="G15" i="1"/>
  <c r="G18" i="1"/>
  <c r="G19" i="1"/>
  <c r="G20" i="1"/>
  <c r="G11" i="1"/>
  <c r="G12" i="1"/>
  <c r="G13" i="1"/>
  <c r="G14" i="1"/>
  <c r="G21" i="1"/>
  <c r="G22" i="1"/>
  <c r="H20" i="1"/>
  <c r="I20" i="1" s="1"/>
  <c r="I19" i="1" l="1"/>
  <c r="I15" i="1"/>
  <c r="I18" i="1"/>
  <c r="H41" i="1"/>
  <c r="I41" i="1" s="1"/>
  <c r="I39" i="1"/>
  <c r="H36" i="1"/>
  <c r="I36" i="1" s="1"/>
  <c r="H35" i="1"/>
  <c r="I35" i="1" s="1"/>
  <c r="H34" i="1"/>
  <c r="I34" i="1" s="1"/>
  <c r="H33" i="1"/>
  <c r="I33" i="1" l="1"/>
  <c r="E16" i="1"/>
  <c r="G16" i="1" s="1"/>
  <c r="H22" i="1"/>
  <c r="I22" i="1" s="1"/>
  <c r="H23" i="1"/>
  <c r="H21" i="1"/>
  <c r="I21" i="1" s="1"/>
  <c r="H13" i="1"/>
  <c r="I13" i="1" s="1"/>
  <c r="H12" i="1"/>
  <c r="I12" i="1" s="1"/>
  <c r="H11" i="1"/>
  <c r="I11" i="1" s="1"/>
  <c r="E23" i="1" l="1"/>
  <c r="G23" i="1" s="1"/>
  <c r="I23" i="1" l="1"/>
  <c r="H16" i="1"/>
  <c r="I16" i="1" s="1"/>
  <c r="I45" i="1" l="1"/>
  <c r="I25" i="1"/>
  <c r="J16" i="1" l="1"/>
  <c r="J17" i="1"/>
  <c r="J43" i="1"/>
  <c r="J38" i="1"/>
  <c r="J37" i="1"/>
  <c r="J42" i="1"/>
  <c r="J36" i="1"/>
  <c r="J35" i="1"/>
  <c r="J41" i="1"/>
  <c r="J34" i="1"/>
  <c r="J33" i="1"/>
  <c r="J39" i="1"/>
  <c r="E30" i="1"/>
  <c r="E51" i="1" s="1"/>
  <c r="J19" i="1"/>
  <c r="J23" i="1"/>
  <c r="J21" i="1"/>
  <c r="E8" i="1"/>
  <c r="J20" i="1"/>
  <c r="J24" i="1"/>
  <c r="J11" i="1"/>
  <c r="J18" i="1"/>
  <c r="J22" i="1"/>
  <c r="J12" i="1"/>
  <c r="J13" i="1"/>
  <c r="J14" i="1"/>
  <c r="J15" i="1"/>
  <c r="J40" i="1"/>
  <c r="E52" i="1" l="1"/>
  <c r="E54" i="1" s="1"/>
  <c r="E55" i="1" s="1"/>
</calcChain>
</file>

<file path=xl/sharedStrings.xml><?xml version="1.0" encoding="utf-8"?>
<sst xmlns="http://schemas.openxmlformats.org/spreadsheetml/2006/main" count="162" uniqueCount="112">
  <si>
    <t>Stage</t>
  </si>
  <si>
    <t>Description</t>
  </si>
  <si>
    <t>(A)</t>
  </si>
  <si>
    <t>Pre-processing</t>
  </si>
  <si>
    <r>
      <t>I</t>
    </r>
    <r>
      <rPr>
        <sz val="7"/>
        <color rgb="FF333333"/>
        <rFont val="Calibri"/>
        <family val="2"/>
        <scheme val="minor"/>
      </rPr>
      <t>ON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RTC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X32k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CPU,Flash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START,X16M</t>
    </r>
  </si>
  <si>
    <t>(B)</t>
  </si>
  <si>
    <t>Standby + XO ramp</t>
  </si>
  <si>
    <r>
      <t>I</t>
    </r>
    <r>
      <rPr>
        <sz val="7"/>
        <color rgb="FF333333"/>
        <rFont val="Calibri"/>
        <family val="2"/>
        <scheme val="minor"/>
      </rPr>
      <t>ON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RTC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X32k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START,X16M</t>
    </r>
  </si>
  <si>
    <t>(C)</t>
  </si>
  <si>
    <t>Standby</t>
  </si>
  <si>
    <r>
      <t>I</t>
    </r>
    <r>
      <rPr>
        <sz val="7"/>
        <color rgb="FF333333"/>
        <rFont val="Calibri"/>
        <family val="2"/>
        <scheme val="minor"/>
      </rPr>
      <t>ON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RTC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X32k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X16M</t>
    </r>
  </si>
  <si>
    <t>(D)</t>
  </si>
  <si>
    <t>Radio start/switch</t>
  </si>
  <si>
    <r>
      <t>I</t>
    </r>
    <r>
      <rPr>
        <sz val="7"/>
        <color rgb="FF333333"/>
        <rFont val="Calibri"/>
        <family val="2"/>
        <scheme val="minor"/>
      </rPr>
      <t>ON</t>
    </r>
    <r>
      <rPr>
        <vertAlign val="superscript"/>
        <sz val="14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RTC</t>
    </r>
    <r>
      <rPr>
        <vertAlign val="superscript"/>
        <sz val="14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X32k</t>
    </r>
    <r>
      <rPr>
        <vertAlign val="superscript"/>
        <sz val="14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X16M</t>
    </r>
    <r>
      <rPr>
        <sz val="9"/>
        <color rgb="FF333333"/>
        <rFont val="Calibri"/>
        <family val="2"/>
        <scheme val="minor"/>
      </rPr>
      <t xml:space="preserve"> + </t>
    </r>
    <r>
      <rPr>
        <vertAlign val="superscript"/>
        <sz val="12.5"/>
        <color rgb="FF333333"/>
        <rFont val="Times New Roman"/>
        <family val="1"/>
      </rPr>
      <t>ʃ</t>
    </r>
    <r>
      <rPr>
        <sz val="12"/>
        <color rgb="FF000000"/>
        <rFont val="Times New Roman"/>
        <family val="1"/>
      </rPr>
      <t xml:space="preserve"> </t>
    </r>
    <r>
      <rPr>
        <sz val="9"/>
        <color rgb="FF333333"/>
        <rFont val="Calibri"/>
        <family val="2"/>
        <scheme val="minor"/>
      </rPr>
      <t>(</t>
    </r>
    <r>
      <rPr>
        <vertAlign val="superscript"/>
        <sz val="14"/>
        <color rgb="FF333333"/>
        <rFont val="Calibri"/>
        <family val="2"/>
        <scheme val="minor"/>
      </rPr>
      <t>I</t>
    </r>
    <r>
      <rPr>
        <sz val="7"/>
        <color rgb="FF333333"/>
        <rFont val="Calibri"/>
        <family val="2"/>
        <scheme val="minor"/>
      </rPr>
      <t>START,TX</t>
    </r>
    <r>
      <rPr>
        <sz val="9"/>
        <color rgb="FF333333"/>
        <rFont val="Calibri"/>
        <family val="2"/>
        <scheme val="minor"/>
      </rPr>
      <t>)</t>
    </r>
    <r>
      <rPr>
        <vertAlign val="superscript"/>
        <sz val="14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CPU,Flash</t>
    </r>
  </si>
  <si>
    <t>(E)</t>
  </si>
  <si>
    <t>Radio start</t>
  </si>
  <si>
    <r>
      <t>I</t>
    </r>
    <r>
      <rPr>
        <sz val="7"/>
        <color rgb="FF333333"/>
        <rFont val="Calibri"/>
        <family val="2"/>
        <scheme val="minor"/>
      </rPr>
      <t>ON</t>
    </r>
    <r>
      <rPr>
        <vertAlign val="superscript"/>
        <sz val="14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RTC</t>
    </r>
    <r>
      <rPr>
        <vertAlign val="superscript"/>
        <sz val="14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X32k</t>
    </r>
    <r>
      <rPr>
        <vertAlign val="superscript"/>
        <sz val="14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X16M</t>
    </r>
    <r>
      <rPr>
        <sz val="9"/>
        <color rgb="FF333333"/>
        <rFont val="Calibri"/>
        <family val="2"/>
        <scheme val="minor"/>
      </rPr>
      <t xml:space="preserve"> + </t>
    </r>
    <r>
      <rPr>
        <vertAlign val="superscript"/>
        <sz val="12.5"/>
        <color rgb="FF333333"/>
        <rFont val="Times New Roman"/>
        <family val="1"/>
      </rPr>
      <t>ʃ</t>
    </r>
    <r>
      <rPr>
        <sz val="12"/>
        <color rgb="FF000000"/>
        <rFont val="Times New Roman"/>
        <family val="1"/>
      </rPr>
      <t xml:space="preserve"> </t>
    </r>
    <r>
      <rPr>
        <sz val="9"/>
        <color rgb="FF333333"/>
        <rFont val="Calibri"/>
        <family val="2"/>
        <scheme val="minor"/>
      </rPr>
      <t>(</t>
    </r>
    <r>
      <rPr>
        <vertAlign val="superscript"/>
        <sz val="14"/>
        <color rgb="FF333333"/>
        <rFont val="Calibri"/>
        <family val="2"/>
        <scheme val="minor"/>
      </rPr>
      <t>I</t>
    </r>
    <r>
      <rPr>
        <sz val="7"/>
        <color rgb="FF333333"/>
        <rFont val="Calibri"/>
        <family val="2"/>
        <scheme val="minor"/>
      </rPr>
      <t>START,TX</t>
    </r>
    <r>
      <rPr>
        <sz val="9"/>
        <color rgb="FF333333"/>
        <rFont val="Calibri"/>
        <family val="2"/>
        <scheme val="minor"/>
      </rPr>
      <t>)</t>
    </r>
  </si>
  <si>
    <t>(F)</t>
  </si>
  <si>
    <t>Radio TX</t>
  </si>
  <si>
    <r>
      <t>I</t>
    </r>
    <r>
      <rPr>
        <sz val="7"/>
        <color rgb="FF333333"/>
        <rFont val="Calibri"/>
        <family val="2"/>
        <scheme val="minor"/>
      </rPr>
      <t>ON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RTC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X32k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X16M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TX,0dBM</t>
    </r>
  </si>
  <si>
    <t>(G)</t>
  </si>
  <si>
    <t>Radio turn-around</t>
  </si>
  <si>
    <r>
      <t>I</t>
    </r>
    <r>
      <rPr>
        <sz val="7"/>
        <color rgb="FF333333"/>
        <rFont val="Calibri"/>
        <family val="2"/>
        <scheme val="minor"/>
      </rPr>
      <t>ON</t>
    </r>
    <r>
      <rPr>
        <vertAlign val="superscript"/>
        <sz val="14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RTC</t>
    </r>
    <r>
      <rPr>
        <vertAlign val="superscript"/>
        <sz val="14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X32k</t>
    </r>
    <r>
      <rPr>
        <vertAlign val="superscript"/>
        <sz val="14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X16M</t>
    </r>
    <r>
      <rPr>
        <sz val="9"/>
        <color rgb="FF333333"/>
        <rFont val="Calibri"/>
        <family val="2"/>
        <scheme val="minor"/>
      </rPr>
      <t xml:space="preserve"> + </t>
    </r>
    <r>
      <rPr>
        <vertAlign val="superscript"/>
        <sz val="12.5"/>
        <color rgb="FF333333"/>
        <rFont val="Times New Roman"/>
        <family val="1"/>
      </rPr>
      <t>ʃ</t>
    </r>
    <r>
      <rPr>
        <sz val="12"/>
        <color rgb="FF000000"/>
        <rFont val="Times New Roman"/>
        <family val="1"/>
      </rPr>
      <t xml:space="preserve"> </t>
    </r>
    <r>
      <rPr>
        <sz val="9"/>
        <color rgb="FF333333"/>
        <rFont val="Calibri"/>
        <family val="2"/>
        <scheme val="minor"/>
      </rPr>
      <t>(</t>
    </r>
    <r>
      <rPr>
        <vertAlign val="superscript"/>
        <sz val="14"/>
        <color rgb="FF333333"/>
        <rFont val="Calibri"/>
        <family val="2"/>
        <scheme val="minor"/>
      </rPr>
      <t>I</t>
    </r>
    <r>
      <rPr>
        <sz val="7"/>
        <color rgb="FF333333"/>
        <rFont val="Calibri"/>
        <family val="2"/>
        <scheme val="minor"/>
      </rPr>
      <t>START,RX</t>
    </r>
    <r>
      <rPr>
        <sz val="9"/>
        <color rgb="FF333333"/>
        <rFont val="Calibri"/>
        <family val="2"/>
        <scheme val="minor"/>
      </rPr>
      <t>)</t>
    </r>
    <r>
      <rPr>
        <vertAlign val="superscript"/>
        <sz val="14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CPU,Flash</t>
    </r>
  </si>
  <si>
    <t>(H)</t>
  </si>
  <si>
    <t>Radio RX</t>
  </si>
  <si>
    <r>
      <t>I</t>
    </r>
    <r>
      <rPr>
        <sz val="7"/>
        <color rgb="FF333333"/>
        <rFont val="Calibri"/>
        <family val="2"/>
        <scheme val="minor"/>
      </rPr>
      <t>ON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RTC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X32k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X16M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RX</t>
    </r>
  </si>
  <si>
    <t>(I)</t>
  </si>
  <si>
    <r>
      <t>I</t>
    </r>
    <r>
      <rPr>
        <sz val="7"/>
        <color rgb="FF333333"/>
        <rFont val="Calibri"/>
        <family val="2"/>
        <scheme val="minor"/>
      </rPr>
      <t>ON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RTC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X32k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CPU,Flash</t>
    </r>
  </si>
  <si>
    <t>(J)</t>
  </si>
  <si>
    <t>Idle</t>
  </si>
  <si>
    <r>
      <t>I</t>
    </r>
    <r>
      <rPr>
        <sz val="7"/>
        <color rgb="FF333333"/>
        <rFont val="Calibri"/>
        <family val="2"/>
        <scheme val="minor"/>
      </rPr>
      <t>ON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RTC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X32k</t>
    </r>
  </si>
  <si>
    <r>
      <t>I</t>
    </r>
    <r>
      <rPr>
        <vertAlign val="subscript"/>
        <sz val="11"/>
        <color theme="1"/>
        <rFont val="Calibri"/>
        <family val="2"/>
        <scheme val="minor"/>
      </rPr>
      <t>ON</t>
    </r>
  </si>
  <si>
    <t>Current</t>
  </si>
  <si>
    <t>#</t>
  </si>
  <si>
    <t>ms</t>
  </si>
  <si>
    <t>Average current</t>
  </si>
  <si>
    <t>uA</t>
  </si>
  <si>
    <t>Payload</t>
  </si>
  <si>
    <t>bytes</t>
  </si>
  <si>
    <t>POUT = +4 dBm</t>
  </si>
  <si>
    <t>POUT = +0 dBm</t>
  </si>
  <si>
    <t>POUT = -4 dBm</t>
  </si>
  <si>
    <t>POUT = -8 dBm</t>
  </si>
  <si>
    <t>POUT = -12 dBm</t>
  </si>
  <si>
    <t>POUT = -16 dBm</t>
  </si>
  <si>
    <t>POUT = -20 dBm</t>
  </si>
  <si>
    <t>POUT = -30 dBm</t>
  </si>
  <si>
    <t>Post-processing BLE</t>
  </si>
  <si>
    <t>Post-processing APP</t>
  </si>
  <si>
    <r>
      <t>I</t>
    </r>
    <r>
      <rPr>
        <vertAlign val="subscript"/>
        <sz val="11"/>
        <color theme="1"/>
        <rFont val="Calibri"/>
        <family val="2"/>
        <scheme val="minor"/>
      </rPr>
      <t>RTC</t>
    </r>
  </si>
  <si>
    <r>
      <t>I</t>
    </r>
    <r>
      <rPr>
        <vertAlign val="subscript"/>
        <sz val="11"/>
        <color theme="1"/>
        <rFont val="Calibri"/>
        <family val="2"/>
        <scheme val="minor"/>
      </rPr>
      <t>X32k</t>
    </r>
  </si>
  <si>
    <r>
      <t>I</t>
    </r>
    <r>
      <rPr>
        <vertAlign val="subscript"/>
        <sz val="11"/>
        <color theme="1"/>
        <rFont val="Calibri"/>
        <family val="2"/>
        <scheme val="minor"/>
      </rPr>
      <t>CPU_Flash</t>
    </r>
  </si>
  <si>
    <r>
      <t>I</t>
    </r>
    <r>
      <rPr>
        <vertAlign val="subscript"/>
        <sz val="11"/>
        <color theme="1"/>
        <rFont val="Calibri"/>
        <family val="2"/>
        <scheme val="minor"/>
      </rPr>
      <t>START_X16M</t>
    </r>
  </si>
  <si>
    <r>
      <t>I</t>
    </r>
    <r>
      <rPr>
        <vertAlign val="subscript"/>
        <sz val="11"/>
        <color theme="1"/>
        <rFont val="Calibri"/>
        <family val="2"/>
        <scheme val="minor"/>
      </rPr>
      <t>X16M</t>
    </r>
  </si>
  <si>
    <r>
      <t>I</t>
    </r>
    <r>
      <rPr>
        <vertAlign val="subscript"/>
        <sz val="11"/>
        <color theme="1"/>
        <rFont val="Calibri"/>
        <family val="2"/>
        <scheme val="minor"/>
      </rPr>
      <t>TX</t>
    </r>
  </si>
  <si>
    <r>
      <t>I</t>
    </r>
    <r>
      <rPr>
        <vertAlign val="subscript"/>
        <sz val="11"/>
        <color theme="1"/>
        <rFont val="Calibri"/>
        <family val="2"/>
        <scheme val="minor"/>
      </rPr>
      <t>START_TX</t>
    </r>
  </si>
  <si>
    <r>
      <t>I</t>
    </r>
    <r>
      <rPr>
        <vertAlign val="subscript"/>
        <sz val="11"/>
        <color theme="1"/>
        <rFont val="Calibri"/>
        <family val="2"/>
        <scheme val="minor"/>
      </rPr>
      <t>START_RX</t>
    </r>
  </si>
  <si>
    <r>
      <t>I</t>
    </r>
    <r>
      <rPr>
        <vertAlign val="subscript"/>
        <sz val="11"/>
        <color theme="1"/>
        <rFont val="Calibri"/>
        <family val="2"/>
        <scheme val="minor"/>
      </rPr>
      <t>RX</t>
    </r>
  </si>
  <si>
    <t>Charge</t>
  </si>
  <si>
    <t>Preprocessing</t>
  </si>
  <si>
    <r>
      <t>I</t>
    </r>
    <r>
      <rPr>
        <sz val="7"/>
        <color rgb="FF333333"/>
        <rFont val="Calibri"/>
        <family val="2"/>
        <scheme val="minor"/>
      </rPr>
      <t>ON</t>
    </r>
    <r>
      <rPr>
        <vertAlign val="superscript"/>
        <sz val="14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RTC</t>
    </r>
    <r>
      <rPr>
        <vertAlign val="superscript"/>
        <sz val="14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X32k</t>
    </r>
    <r>
      <rPr>
        <vertAlign val="superscript"/>
        <sz val="14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 xml:space="preserve">CPU,Flash </t>
    </r>
    <r>
      <rPr>
        <sz val="9"/>
        <color rgb="FF333333"/>
        <rFont val="Calibri"/>
        <family val="2"/>
        <scheme val="minor"/>
      </rPr>
      <t>+</t>
    </r>
    <r>
      <rPr>
        <vertAlign val="superscript"/>
        <sz val="14"/>
        <color rgb="FF333333"/>
        <rFont val="Calibri"/>
        <family val="2"/>
        <scheme val="minor"/>
      </rPr>
      <t xml:space="preserve"> I</t>
    </r>
    <r>
      <rPr>
        <sz val="7"/>
        <color rgb="FF333333"/>
        <rFont val="Calibri"/>
        <family val="2"/>
        <scheme val="minor"/>
      </rPr>
      <t>START,X16M</t>
    </r>
  </si>
  <si>
    <t>Radio Start</t>
  </si>
  <si>
    <r>
      <t>I</t>
    </r>
    <r>
      <rPr>
        <sz val="7"/>
        <color rgb="FF333333"/>
        <rFont val="Calibri"/>
        <family val="2"/>
        <scheme val="minor"/>
      </rPr>
      <t>ON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RTC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X32k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X16M</t>
    </r>
    <r>
      <rPr>
        <sz val="9"/>
        <color rgb="FF333333"/>
        <rFont val="Calibri"/>
        <family val="2"/>
        <scheme val="minor"/>
      </rPr>
      <t xml:space="preserve"> + </t>
    </r>
    <r>
      <rPr>
        <sz val="8"/>
        <color rgb="FF333333"/>
        <rFont val="Times New Roman"/>
        <family val="1"/>
      </rPr>
      <t>ʃ</t>
    </r>
    <r>
      <rPr>
        <sz val="9"/>
        <color rgb="FF333333"/>
        <rFont val="Calibri"/>
        <family val="2"/>
        <scheme val="minor"/>
      </rPr>
      <t xml:space="preserve"> (I</t>
    </r>
    <r>
      <rPr>
        <sz val="7"/>
        <color rgb="FF333333"/>
        <rFont val="Calibri"/>
        <family val="2"/>
        <scheme val="minor"/>
      </rPr>
      <t>START,RX</t>
    </r>
    <r>
      <rPr>
        <sz val="9"/>
        <color rgb="FF333333"/>
        <rFont val="Calibri"/>
        <family val="2"/>
        <scheme val="minor"/>
      </rPr>
      <t>) + I</t>
    </r>
    <r>
      <rPr>
        <sz val="7"/>
        <color rgb="FF333333"/>
        <rFont val="Calibri"/>
        <family val="2"/>
        <scheme val="minor"/>
      </rPr>
      <t>CPU,Flash</t>
    </r>
  </si>
  <si>
    <r>
      <t>I</t>
    </r>
    <r>
      <rPr>
        <sz val="7"/>
        <color rgb="FF333333"/>
        <rFont val="Calibri"/>
        <family val="2"/>
        <scheme val="minor"/>
      </rPr>
      <t>ON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RTC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X32k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X16M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RX</t>
    </r>
    <r>
      <rPr>
        <sz val="9"/>
        <color rgb="FF333333"/>
        <rFont val="Calibri"/>
        <family val="2"/>
        <scheme val="minor"/>
      </rPr>
      <t>+ I</t>
    </r>
    <r>
      <rPr>
        <sz val="7"/>
        <color rgb="FF333333"/>
        <rFont val="Calibri"/>
        <family val="2"/>
        <scheme val="minor"/>
      </rPr>
      <t>CRYPTO</t>
    </r>
  </si>
  <si>
    <r>
      <t>I</t>
    </r>
    <r>
      <rPr>
        <sz val="7"/>
        <color rgb="FF333333"/>
        <rFont val="Calibri"/>
        <family val="2"/>
        <scheme val="minor"/>
      </rPr>
      <t>ON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RTC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X32k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X16M</t>
    </r>
    <r>
      <rPr>
        <sz val="9"/>
        <color rgb="FF333333"/>
        <rFont val="Calibri"/>
        <family val="2"/>
        <scheme val="minor"/>
      </rPr>
      <t xml:space="preserve"> + </t>
    </r>
    <r>
      <rPr>
        <sz val="8"/>
        <color rgb="FF333333"/>
        <rFont val="Times New Roman"/>
        <family val="1"/>
      </rPr>
      <t>ʃ</t>
    </r>
    <r>
      <rPr>
        <sz val="9"/>
        <color rgb="FF333333"/>
        <rFont val="Calibri"/>
        <family val="2"/>
        <scheme val="minor"/>
      </rPr>
      <t xml:space="preserve"> (I</t>
    </r>
    <r>
      <rPr>
        <sz val="7"/>
        <color rgb="FF333333"/>
        <rFont val="Calibri"/>
        <family val="2"/>
        <scheme val="minor"/>
      </rPr>
      <t>START,TX</t>
    </r>
    <r>
      <rPr>
        <sz val="9"/>
        <color rgb="FF333333"/>
        <rFont val="Calibri"/>
        <family val="2"/>
        <scheme val="minor"/>
      </rPr>
      <t>) + I</t>
    </r>
    <r>
      <rPr>
        <sz val="7"/>
        <color rgb="FF333333"/>
        <rFont val="Calibri"/>
        <family val="2"/>
        <scheme val="minor"/>
      </rPr>
      <t>CPU,Flash</t>
    </r>
  </si>
  <si>
    <r>
      <t>I</t>
    </r>
    <r>
      <rPr>
        <sz val="7"/>
        <color rgb="FF333333"/>
        <rFont val="Calibri"/>
        <family val="2"/>
        <scheme val="minor"/>
      </rPr>
      <t>ON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RTC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X32k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X16M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TX,0dBM</t>
    </r>
    <r>
      <rPr>
        <sz val="9"/>
        <color rgb="FF333333"/>
        <rFont val="Calibri"/>
        <family val="2"/>
        <scheme val="minor"/>
      </rPr>
      <t>+ I</t>
    </r>
    <r>
      <rPr>
        <sz val="7"/>
        <color rgb="FF333333"/>
        <rFont val="Calibri"/>
        <family val="2"/>
        <scheme val="minor"/>
      </rPr>
      <t>CRYPTO</t>
    </r>
  </si>
  <si>
    <t>Post-processing</t>
  </si>
  <si>
    <t>Idle - connected</t>
  </si>
  <si>
    <r>
      <t>I</t>
    </r>
    <r>
      <rPr>
        <vertAlign val="subscript"/>
        <sz val="11"/>
        <color theme="1"/>
        <rFont val="Calibri"/>
        <family val="2"/>
        <scheme val="minor"/>
      </rPr>
      <t>CRYPTO</t>
    </r>
  </si>
  <si>
    <r>
      <t>(I)</t>
    </r>
    <r>
      <rPr>
        <vertAlign val="subscript"/>
        <sz val="9"/>
        <color rgb="FF333333"/>
        <rFont val="Calibri"/>
        <family val="2"/>
        <scheme val="minor"/>
      </rPr>
      <t>1</t>
    </r>
  </si>
  <si>
    <r>
      <t>(I)</t>
    </r>
    <r>
      <rPr>
        <vertAlign val="subscript"/>
        <sz val="9"/>
        <color rgb="FF333333"/>
        <rFont val="Calibri"/>
        <family val="2"/>
        <scheme val="minor"/>
      </rPr>
      <t>2</t>
    </r>
  </si>
  <si>
    <t>DC/DC</t>
  </si>
  <si>
    <t>%</t>
  </si>
  <si>
    <r>
      <t>I</t>
    </r>
    <r>
      <rPr>
        <sz val="7"/>
        <color rgb="FF333333"/>
        <rFont val="Calibri"/>
        <family val="2"/>
        <scheme val="minor"/>
      </rPr>
      <t>ON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RTC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X32k</t>
    </r>
    <r>
      <rPr>
        <sz val="9"/>
        <color rgb="FF333333"/>
        <rFont val="Calibri"/>
        <family val="2"/>
        <scheme val="minor"/>
      </rPr>
      <t xml:space="preserve"> + I</t>
    </r>
    <r>
      <rPr>
        <sz val="7"/>
        <color rgb="FF333333"/>
        <rFont val="Calibri"/>
        <family val="2"/>
        <scheme val="minor"/>
      </rPr>
      <t>X16M</t>
    </r>
    <r>
      <rPr>
        <sz val="9"/>
        <color rgb="FF333333"/>
        <rFont val="Calibri"/>
        <family val="2"/>
        <scheme val="minor"/>
      </rPr>
      <t xml:space="preserve"> + </t>
    </r>
    <r>
      <rPr>
        <sz val="8"/>
        <color rgb="FF333333"/>
        <rFont val="Times New Roman"/>
        <family val="1"/>
      </rPr>
      <t>ʃ</t>
    </r>
    <r>
      <rPr>
        <sz val="9"/>
        <color rgb="FF333333"/>
        <rFont val="Calibri"/>
        <family val="2"/>
        <scheme val="minor"/>
      </rPr>
      <t xml:space="preserve"> (I</t>
    </r>
    <r>
      <rPr>
        <sz val="7"/>
        <color rgb="FF333333"/>
        <rFont val="Calibri"/>
        <family val="2"/>
        <scheme val="minor"/>
      </rPr>
      <t>START,TX</t>
    </r>
    <r>
      <rPr>
        <sz val="9"/>
        <color rgb="FF333333"/>
        <rFont val="Calibri"/>
        <family val="2"/>
        <scheme val="minor"/>
      </rPr>
      <t xml:space="preserve">) </t>
    </r>
  </si>
  <si>
    <t>Connection Interval</t>
  </si>
  <si>
    <t>Interval</t>
  </si>
  <si>
    <t>Channels</t>
  </si>
  <si>
    <t>Advertising</t>
  </si>
  <si>
    <t>Connected</t>
  </si>
  <si>
    <t>Peripherals</t>
  </si>
  <si>
    <t>Minutes per day</t>
  </si>
  <si>
    <t>LED (1mA in 10s)</t>
  </si>
  <si>
    <t>Buzzer (2,5mA in 3s)</t>
  </si>
  <si>
    <t>mAh</t>
  </si>
  <si>
    <t>Alarms per day</t>
  </si>
  <si>
    <t>Years</t>
  </si>
  <si>
    <t>Current Calculations</t>
  </si>
  <si>
    <t>Current Calculation</t>
  </si>
  <si>
    <t>Sleep mode</t>
  </si>
  <si>
    <t>Active</t>
  </si>
  <si>
    <t>On</t>
  </si>
  <si>
    <t>Off</t>
  </si>
  <si>
    <t>On 16kB RAM</t>
  </si>
  <si>
    <t>On 32kB RAM</t>
  </si>
  <si>
    <t>CR2016</t>
  </si>
  <si>
    <t>CR2032</t>
  </si>
  <si>
    <t>CR2450</t>
  </si>
  <si>
    <t>CR2477</t>
  </si>
  <si>
    <t>Battery</t>
  </si>
  <si>
    <t>Broadcast</t>
  </si>
  <si>
    <t>Broadcast break</t>
  </si>
  <si>
    <t>No</t>
  </si>
  <si>
    <t>Yes</t>
  </si>
  <si>
    <t>mAh/yr</t>
  </si>
  <si>
    <t>Time (uS)</t>
  </si>
  <si>
    <r>
      <t>Time</t>
    </r>
    <r>
      <rPr>
        <vertAlign val="subscript"/>
        <sz val="11"/>
        <color theme="1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(uS)</t>
    </r>
  </si>
  <si>
    <t>ppm</t>
  </si>
  <si>
    <t>LFCLK</t>
  </si>
  <si>
    <r>
      <t>LFCLK</t>
    </r>
    <r>
      <rPr>
        <vertAlign val="subscript"/>
        <sz val="11"/>
        <color theme="1"/>
        <rFont val="Calibri"/>
        <family val="2"/>
        <scheme val="minor"/>
      </rPr>
      <t>Central</t>
    </r>
  </si>
  <si>
    <r>
      <t>LFCLK</t>
    </r>
    <r>
      <rPr>
        <vertAlign val="subscript"/>
        <sz val="11"/>
        <color theme="1"/>
        <rFont val="Calibri"/>
        <family val="2"/>
        <scheme val="minor"/>
      </rPr>
      <t>Peripheral</t>
    </r>
  </si>
  <si>
    <t>Typical 40ppm for iOS devices</t>
  </si>
  <si>
    <t>nRF51822 32.768kHz 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</si>
</sst>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%"/>
    <numFmt numFmtId="166" formatCode="0.0"/>
  </numFmts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rgb="FF333333"/>
      <name val="Calibri"/>
      <family val="2"/>
      <scheme val="minor"/>
    </font>
    <font>
      <sz val="7"/>
      <color rgb="FF333333"/>
      <name val="Calibri"/>
      <family val="2"/>
      <scheme val="minor"/>
    </font>
    <font>
      <vertAlign val="superscript"/>
      <sz val="14"/>
      <color rgb="FF333333"/>
      <name val="Calibri"/>
      <family val="2"/>
      <scheme val="minor"/>
    </font>
    <font>
      <vertAlign val="superscript"/>
      <sz val="12.5"/>
      <color rgb="FF333333"/>
      <name val="Times New Roman"/>
      <family val="1"/>
    </font>
    <font>
      <sz val="12"/>
      <color rgb="FF000000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8"/>
      <color rgb="FF333333"/>
      <name val="Times New Roman"/>
      <family val="1"/>
    </font>
    <font>
      <vertAlign val="subscript"/>
      <sz val="9"/>
      <color rgb="FF33333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75CCED"/>
      </left>
      <right style="medium">
        <color rgb="FF75CCED"/>
      </right>
      <top style="medium">
        <color rgb="FF75CCED"/>
      </top>
      <bottom/>
      <diagonal/>
    </border>
    <border>
      <left/>
      <right style="medium">
        <color rgb="FF75CCED"/>
      </right>
      <top style="medium">
        <color rgb="FF75CCED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2" borderId="1" xfId="0" applyFill="1" applyBorder="1"/>
    <xf numFmtId="3" fontId="0" fillId="2" borderId="1" xfId="0" applyNumberFormat="1" applyFill="1" applyBorder="1"/>
    <xf numFmtId="0" fontId="0" fillId="2" borderId="0" xfId="0" applyFill="1" applyAlignment="1">
      <alignment horizontal="right"/>
    </xf>
    <xf numFmtId="164" fontId="0" fillId="3" borderId="0" xfId="0" applyNumberFormat="1" applyFill="1"/>
    <xf numFmtId="165" fontId="0" fillId="0" borderId="0" xfId="0" applyNumberFormat="1"/>
    <xf numFmtId="0" fontId="0" fillId="2" borderId="0" xfId="0" applyFill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3" fontId="0" fillId="2" borderId="0" xfId="0" applyNumberFormat="1" applyFill="1"/>
    <xf numFmtId="0" fontId="0" fillId="4" borderId="0" xfId="0" applyFill="1"/>
    <xf numFmtId="1" fontId="0" fillId="0" borderId="0" xfId="0" applyNumberFormat="1"/>
    <xf numFmtId="0" fontId="0" fillId="5" borderId="0" xfId="0" applyFill="1"/>
    <xf numFmtId="3" fontId="0" fillId="5" borderId="0" xfId="0" applyNumberFormat="1" applyFill="1"/>
    <xf numFmtId="165" fontId="0" fillId="5" borderId="0" xfId="0" applyNumberFormat="1" applyFill="1"/>
    <xf numFmtId="0" fontId="2" fillId="5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vertical="center" wrapText="1"/>
    </xf>
    <xf numFmtId="3" fontId="0" fillId="5" borderId="0" xfId="0" applyNumberFormat="1" applyFill="1" applyProtection="1">
      <protection hidden="1"/>
    </xf>
    <xf numFmtId="0" fontId="2" fillId="6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vertical="center" wrapText="1"/>
    </xf>
    <xf numFmtId="0" fontId="0" fillId="6" borderId="0" xfId="0" applyFill="1"/>
    <xf numFmtId="3" fontId="0" fillId="6" borderId="0" xfId="0" applyNumberFormat="1" applyFill="1"/>
    <xf numFmtId="165" fontId="0" fillId="6" borderId="0" xfId="0" applyNumberFormat="1" applyFill="1"/>
    <xf numFmtId="3" fontId="0" fillId="6" borderId="0" xfId="0" applyNumberFormat="1" applyFill="1" applyProtection="1">
      <protection hidden="1"/>
    </xf>
    <xf numFmtId="164" fontId="0" fillId="6" borderId="0" xfId="0" applyNumberFormat="1" applyFill="1"/>
    <xf numFmtId="1" fontId="0" fillId="3" borderId="0" xfId="0" applyNumberFormat="1" applyFill="1"/>
    <xf numFmtId="166" fontId="0" fillId="3" borderId="0" xfId="0" applyNumberFormat="1" applyFill="1"/>
    <xf numFmtId="0" fontId="0" fillId="4" borderId="0" xfId="0" applyFill="1" applyAlignment="1">
      <alignment horizontal="right"/>
    </xf>
    <xf numFmtId="0" fontId="0" fillId="0" borderId="0" xfId="0" applyFill="1" applyAlignment="1">
      <alignment horizontal="left"/>
    </xf>
    <xf numFmtId="164" fontId="0" fillId="4" borderId="0" xfId="0" applyNumberFormat="1" applyFill="1"/>
    <xf numFmtId="0" fontId="11" fillId="0" borderId="0" xfId="0" applyFont="1"/>
    <xf numFmtId="1" fontId="11" fillId="0" borderId="0" xfId="0" applyNumberFormat="1" applyFont="1"/>
    <xf numFmtId="0" fontId="12" fillId="0" borderId="0" xfId="0" applyFont="1"/>
    <xf numFmtId="1" fontId="12" fillId="0" borderId="0" xfId="0" applyNumberFormat="1" applyFont="1"/>
    <xf numFmtId="0" fontId="0" fillId="7" borderId="4" xfId="0" applyFill="1" applyBorder="1"/>
    <xf numFmtId="0" fontId="10" fillId="7" borderId="4" xfId="0" applyFont="1" applyFill="1" applyBorder="1"/>
    <xf numFmtId="0" fontId="0" fillId="7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3"/>
  <sheetViews>
    <sheetView tabSelected="1" workbookViewId="0">
      <selection activeCell="O34" sqref="O34"/>
    </sheetView>
  </sheetViews>
  <sheetFormatPr defaultRowHeight="14.5" x14ac:dyDescent="0.35"/>
  <cols>
    <col min="2" max="2" width="9" customWidth="1"/>
    <col min="3" max="3" width="16.7265625" customWidth="1"/>
    <col min="4" max="4" width="38.90625" customWidth="1"/>
    <col min="5" max="5" width="10.36328125" customWidth="1"/>
    <col min="6" max="6" width="6" customWidth="1"/>
    <col min="7" max="7" width="10.08984375" customWidth="1"/>
    <col min="12" max="12" width="16.26953125" customWidth="1"/>
    <col min="13" max="13" width="8.7265625" customWidth="1"/>
    <col min="14" max="14" width="16.54296875" customWidth="1"/>
  </cols>
  <sheetData>
    <row r="2" spans="2:14" ht="26" x14ac:dyDescent="0.6">
      <c r="B2" s="36"/>
      <c r="C2" s="36"/>
      <c r="D2" s="37" t="s">
        <v>77</v>
      </c>
      <c r="E2" s="36"/>
      <c r="F2" s="36"/>
      <c r="G2" s="36"/>
      <c r="H2" s="36"/>
      <c r="I2" s="36"/>
      <c r="J2" s="36"/>
    </row>
    <row r="3" spans="2:14" x14ac:dyDescent="0.35">
      <c r="D3" t="s">
        <v>75</v>
      </c>
      <c r="E3" s="12">
        <v>1000</v>
      </c>
      <c r="F3" t="s">
        <v>34</v>
      </c>
    </row>
    <row r="4" spans="2:14" x14ac:dyDescent="0.35">
      <c r="D4" t="s">
        <v>37</v>
      </c>
      <c r="E4" s="12">
        <v>31</v>
      </c>
      <c r="F4" t="s">
        <v>38</v>
      </c>
    </row>
    <row r="5" spans="2:14" x14ac:dyDescent="0.35">
      <c r="D5" t="s">
        <v>76</v>
      </c>
      <c r="E5" s="12">
        <v>3</v>
      </c>
    </row>
    <row r="6" spans="2:14" x14ac:dyDescent="0.35">
      <c r="D6" t="s">
        <v>99</v>
      </c>
      <c r="E6" s="29" t="s">
        <v>91</v>
      </c>
    </row>
    <row r="7" spans="2:14" x14ac:dyDescent="0.35">
      <c r="D7" t="s">
        <v>71</v>
      </c>
      <c r="E7" s="29" t="s">
        <v>91</v>
      </c>
      <c r="F7" s="30">
        <f>VLOOKUP(E7,'Ark2'!E1:F2,2,FALSE)</f>
        <v>1</v>
      </c>
    </row>
    <row r="8" spans="2:14" x14ac:dyDescent="0.35">
      <c r="D8" t="s">
        <v>35</v>
      </c>
      <c r="E8" s="6">
        <f>I25/E3</f>
        <v>30.838379999999997</v>
      </c>
      <c r="F8" t="s">
        <v>36</v>
      </c>
    </row>
    <row r="9" spans="2:14" ht="15" thickBot="1" x14ac:dyDescent="0.4"/>
    <row r="10" spans="2:14" ht="16.5" x14ac:dyDescent="0.45">
      <c r="B10" s="9" t="s">
        <v>0</v>
      </c>
      <c r="C10" s="10" t="s">
        <v>1</v>
      </c>
      <c r="D10" s="10" t="s">
        <v>87</v>
      </c>
      <c r="E10" s="8" t="s">
        <v>104</v>
      </c>
      <c r="F10" s="8" t="s">
        <v>33</v>
      </c>
      <c r="G10" s="8" t="s">
        <v>105</v>
      </c>
      <c r="H10" s="8" t="s">
        <v>32</v>
      </c>
      <c r="I10" s="8" t="s">
        <v>58</v>
      </c>
      <c r="J10" s="8" t="s">
        <v>72</v>
      </c>
      <c r="L10" s="2"/>
      <c r="M10" s="5" t="s">
        <v>36</v>
      </c>
      <c r="N10" s="2"/>
    </row>
    <row r="11" spans="2:14" ht="16.5" x14ac:dyDescent="0.45">
      <c r="B11" s="17" t="s">
        <v>2</v>
      </c>
      <c r="C11" s="18" t="s">
        <v>3</v>
      </c>
      <c r="D11" s="18" t="s">
        <v>4</v>
      </c>
      <c r="E11" s="14">
        <v>125</v>
      </c>
      <c r="F11" s="14">
        <v>1</v>
      </c>
      <c r="G11" s="14">
        <f t="shared" ref="G11:G23" si="0">E11*F11</f>
        <v>125</v>
      </c>
      <c r="H11" s="15">
        <f>ION + IRTC + IX32k + ICPU_Flash + ISTART_X16M</f>
        <v>5203.1000000000004</v>
      </c>
      <c r="I11" s="15">
        <f>E11*H11/1000</f>
        <v>650.38750000000005</v>
      </c>
      <c r="J11" s="16">
        <f>I11/I25</f>
        <v>2.1090196696454226E-2</v>
      </c>
      <c r="L11" t="s">
        <v>31</v>
      </c>
      <c r="M11">
        <f>VLOOKUP(N11,'Ark2'!H1:I3,2,FALSE)</f>
        <v>2.6</v>
      </c>
      <c r="N11" s="12" t="s">
        <v>92</v>
      </c>
    </row>
    <row r="12" spans="2:14" ht="16.5" x14ac:dyDescent="0.45">
      <c r="B12" s="20" t="s">
        <v>5</v>
      </c>
      <c r="C12" s="21" t="s">
        <v>6</v>
      </c>
      <c r="D12" s="21" t="s">
        <v>7</v>
      </c>
      <c r="E12" s="22">
        <v>675</v>
      </c>
      <c r="F12" s="22">
        <v>1</v>
      </c>
      <c r="G12" s="22">
        <f t="shared" si="0"/>
        <v>675</v>
      </c>
      <c r="H12" s="23">
        <f>ION + IRTC + IX32k + ISTART_X16M</f>
        <v>1103.0999999999999</v>
      </c>
      <c r="I12" s="23">
        <f>E12*H12/1000</f>
        <v>744.59249999999986</v>
      </c>
      <c r="J12" s="24">
        <f>I12/I25</f>
        <v>2.4144993997739179E-2</v>
      </c>
      <c r="L12" t="s">
        <v>49</v>
      </c>
      <c r="M12">
        <v>0.1</v>
      </c>
    </row>
    <row r="13" spans="2:14" ht="16.5" x14ac:dyDescent="0.45">
      <c r="B13" s="17" t="s">
        <v>8</v>
      </c>
      <c r="C13" s="18" t="s">
        <v>9</v>
      </c>
      <c r="D13" s="18" t="s">
        <v>10</v>
      </c>
      <c r="E13" s="14">
        <v>600</v>
      </c>
      <c r="F13" s="14">
        <v>1</v>
      </c>
      <c r="G13" s="14">
        <f t="shared" si="0"/>
        <v>600</v>
      </c>
      <c r="H13" s="15">
        <f>ION + IRTC + IX32k + IX16M</f>
        <v>473.1</v>
      </c>
      <c r="I13" s="15">
        <f>E13*H13/1000</f>
        <v>283.86</v>
      </c>
      <c r="J13" s="16">
        <f>I13/I25</f>
        <v>9.2047636743564365E-3</v>
      </c>
      <c r="L13" t="s">
        <v>50</v>
      </c>
      <c r="M13">
        <v>0.4</v>
      </c>
    </row>
    <row r="14" spans="2:14" ht="21" x14ac:dyDescent="0.45">
      <c r="B14" s="20" t="s">
        <v>11</v>
      </c>
      <c r="C14" s="21" t="s">
        <v>12</v>
      </c>
      <c r="D14" s="21" t="s">
        <v>13</v>
      </c>
      <c r="E14" s="22">
        <v>130</v>
      </c>
      <c r="F14" s="22">
        <v>1</v>
      </c>
      <c r="G14" s="22">
        <f t="shared" si="0"/>
        <v>130</v>
      </c>
      <c r="H14" s="23">
        <f>ION + IRTC + IX32k + IX16M + ISTART_TX+ ICPU_Flash</f>
        <v>11573.1</v>
      </c>
      <c r="I14" s="23">
        <f>E14*H14/1000</f>
        <v>1504.5029999999999</v>
      </c>
      <c r="J14" s="24">
        <f>I14/I25</f>
        <v>4.8786706694709643E-2</v>
      </c>
      <c r="L14" t="s">
        <v>51</v>
      </c>
      <c r="M14">
        <v>4100</v>
      </c>
    </row>
    <row r="15" spans="2:14" ht="21" x14ac:dyDescent="0.45">
      <c r="B15" s="17" t="s">
        <v>14</v>
      </c>
      <c r="C15" s="18" t="s">
        <v>15</v>
      </c>
      <c r="D15" s="18" t="s">
        <v>16</v>
      </c>
      <c r="E15" s="14">
        <v>130</v>
      </c>
      <c r="F15" s="14">
        <f>IF(Broadcast="On",0,AdvChannels-1)</f>
        <v>2</v>
      </c>
      <c r="G15" s="14">
        <f t="shared" si="0"/>
        <v>260</v>
      </c>
      <c r="H15" s="15">
        <f>ION + IRTC + IX32k + IX16M + ISTART_TX</f>
        <v>7473.1</v>
      </c>
      <c r="I15" s="15">
        <f>G15*H15/1000</f>
        <v>1943.0060000000001</v>
      </c>
      <c r="J15" s="16">
        <f>I15/I25</f>
        <v>6.300609824510886E-2</v>
      </c>
      <c r="L15" t="s">
        <v>52</v>
      </c>
      <c r="M15">
        <v>1100</v>
      </c>
    </row>
    <row r="16" spans="2:14" ht="16.5" x14ac:dyDescent="0.45">
      <c r="B16" s="20" t="s">
        <v>17</v>
      </c>
      <c r="C16" s="21" t="s">
        <v>18</v>
      </c>
      <c r="D16" s="21" t="s">
        <v>19</v>
      </c>
      <c r="E16" s="22">
        <f>128+Payload*8</f>
        <v>376</v>
      </c>
      <c r="F16" s="22">
        <f>AdvChannels</f>
        <v>3</v>
      </c>
      <c r="G16" s="22">
        <f t="shared" si="0"/>
        <v>1128</v>
      </c>
      <c r="H16" s="23">
        <f>ION + IRTC + IX32k + IX16M + ITX</f>
        <v>10973.1</v>
      </c>
      <c r="I16" s="23">
        <f>E16*AdvChannels*H16/1000</f>
        <v>12377.656800000001</v>
      </c>
      <c r="J16" s="24">
        <f>I16/I25</f>
        <v>0.40137182303350571</v>
      </c>
      <c r="L16" t="s">
        <v>53</v>
      </c>
      <c r="M16">
        <v>470</v>
      </c>
    </row>
    <row r="17" spans="2:14" x14ac:dyDescent="0.35">
      <c r="B17" s="17"/>
      <c r="C17" s="18" t="s">
        <v>100</v>
      </c>
      <c r="D17" s="18" t="s">
        <v>10</v>
      </c>
      <c r="E17" s="14">
        <v>300</v>
      </c>
      <c r="F17" s="14">
        <f>IF(Broadcast="On",AdvChannels-1,0)</f>
        <v>0</v>
      </c>
      <c r="G17" s="14">
        <f t="shared" ref="G17" si="1">E17*F17</f>
        <v>0</v>
      </c>
      <c r="H17" s="15">
        <f>ION + IRTC + IX32k + IX16M</f>
        <v>473.1</v>
      </c>
      <c r="I17" s="15">
        <f>E17*H17/1000</f>
        <v>141.93</v>
      </c>
      <c r="J17" s="16">
        <f>I17/I25</f>
        <v>4.6023818371782182E-3</v>
      </c>
    </row>
    <row r="18" spans="2:14" ht="21" x14ac:dyDescent="0.45">
      <c r="B18" s="17" t="s">
        <v>20</v>
      </c>
      <c r="C18" s="18" t="s">
        <v>21</v>
      </c>
      <c r="D18" s="18" t="s">
        <v>22</v>
      </c>
      <c r="E18" s="14">
        <v>130</v>
      </c>
      <c r="F18" s="14">
        <f>IF(Broadcast="On",0,AdvChannels)</f>
        <v>3</v>
      </c>
      <c r="G18" s="14">
        <f t="shared" si="0"/>
        <v>390</v>
      </c>
      <c r="H18" s="15">
        <f>ION + IRTC + IX32k + IX16M + ISTART_RX + ICPU_Flash</f>
        <v>13273.1</v>
      </c>
      <c r="I18" s="15">
        <f>G18*H18/1000</f>
        <v>5176.509</v>
      </c>
      <c r="J18" s="16">
        <f>I18/I25</f>
        <v>0.16785930389339521</v>
      </c>
      <c r="L18" t="s">
        <v>54</v>
      </c>
      <c r="M18">
        <f>VLOOKUP(N18,'Ark2'!A1:B8,2,FALSE)*DCDC</f>
        <v>10500</v>
      </c>
      <c r="N18" s="12" t="s">
        <v>40</v>
      </c>
    </row>
    <row r="19" spans="2:14" ht="16.5" x14ac:dyDescent="0.45">
      <c r="B19" s="20" t="s">
        <v>23</v>
      </c>
      <c r="C19" s="21" t="s">
        <v>24</v>
      </c>
      <c r="D19" s="21" t="s">
        <v>25</v>
      </c>
      <c r="E19" s="22">
        <v>59</v>
      </c>
      <c r="F19" s="22">
        <f>IF(Broadcast="On",0,AdvChannels)</f>
        <v>3</v>
      </c>
      <c r="G19" s="22">
        <f t="shared" si="0"/>
        <v>177</v>
      </c>
      <c r="H19" s="23">
        <f>ION + IRTC + IX32k + IX16M + IRX</f>
        <v>13473.1</v>
      </c>
      <c r="I19" s="23">
        <f>G19*H19/1000</f>
        <v>2384.7387000000003</v>
      </c>
      <c r="J19" s="24">
        <f>I19/I25</f>
        <v>7.7330219680800366E-2</v>
      </c>
      <c r="L19" t="s">
        <v>55</v>
      </c>
      <c r="M19">
        <f>7000*DCDC</f>
        <v>7000</v>
      </c>
    </row>
    <row r="20" spans="2:14" x14ac:dyDescent="0.35">
      <c r="B20" s="17" t="s">
        <v>69</v>
      </c>
      <c r="C20" s="18" t="s">
        <v>47</v>
      </c>
      <c r="D20" s="18" t="s">
        <v>27</v>
      </c>
      <c r="E20" s="14">
        <v>60</v>
      </c>
      <c r="F20" s="22">
        <f>IF(Broadcast="On",0,AdvChannels-1)</f>
        <v>2</v>
      </c>
      <c r="G20" s="14">
        <f t="shared" si="0"/>
        <v>120</v>
      </c>
      <c r="H20" s="15">
        <f>ION + IRTC + IX32k + ICPU_Flash</f>
        <v>4103.1000000000004</v>
      </c>
      <c r="I20" s="15">
        <f>E20*(AdvChannels-1)*H20/1000</f>
        <v>492.37200000000007</v>
      </c>
      <c r="J20" s="16">
        <f>I20/I25</f>
        <v>1.5966208341683323E-2</v>
      </c>
    </row>
    <row r="21" spans="2:14" ht="16.5" x14ac:dyDescent="0.45">
      <c r="B21" s="20" t="s">
        <v>70</v>
      </c>
      <c r="C21" s="21" t="s">
        <v>47</v>
      </c>
      <c r="D21" s="21" t="s">
        <v>27</v>
      </c>
      <c r="E21" s="22">
        <v>500</v>
      </c>
      <c r="F21" s="22">
        <v>1</v>
      </c>
      <c r="G21" s="22">
        <f t="shared" si="0"/>
        <v>500</v>
      </c>
      <c r="H21" s="23">
        <f>ION + IRTC + IX32k + ICPU_Flash</f>
        <v>4103.1000000000004</v>
      </c>
      <c r="I21" s="23">
        <f>E21*H21/1000</f>
        <v>2051.5500000000002</v>
      </c>
      <c r="J21" s="24">
        <f>I21/I25</f>
        <v>6.6525868090347176E-2</v>
      </c>
      <c r="L21" t="s">
        <v>56</v>
      </c>
      <c r="M21">
        <f>8700*DCDC</f>
        <v>8700</v>
      </c>
    </row>
    <row r="22" spans="2:14" ht="16.5" x14ac:dyDescent="0.45">
      <c r="B22" s="17" t="s">
        <v>26</v>
      </c>
      <c r="C22" s="18" t="s">
        <v>48</v>
      </c>
      <c r="D22" s="18" t="s">
        <v>27</v>
      </c>
      <c r="E22" s="14">
        <v>0</v>
      </c>
      <c r="F22" s="14">
        <v>1</v>
      </c>
      <c r="G22" s="14">
        <f t="shared" si="0"/>
        <v>0</v>
      </c>
      <c r="H22" s="15">
        <f>ION + IRTC + IX32k + ICPU_Flash</f>
        <v>4103.1000000000004</v>
      </c>
      <c r="I22" s="15">
        <f>E22*H22/1000</f>
        <v>0</v>
      </c>
      <c r="J22" s="16">
        <f>I22/I25</f>
        <v>0</v>
      </c>
      <c r="L22" t="s">
        <v>57</v>
      </c>
      <c r="M22">
        <f>13000*DCDC</f>
        <v>13000</v>
      </c>
    </row>
    <row r="23" spans="2:14" ht="16.5" x14ac:dyDescent="0.45">
      <c r="B23" s="20" t="s">
        <v>28</v>
      </c>
      <c r="C23" s="21" t="s">
        <v>29</v>
      </c>
      <c r="D23" s="21" t="s">
        <v>30</v>
      </c>
      <c r="E23" s="25">
        <f>E3*1000-SUM(G11:G21)</f>
        <v>995895</v>
      </c>
      <c r="F23" s="22">
        <v>1</v>
      </c>
      <c r="G23" s="23">
        <f t="shared" si="0"/>
        <v>995895</v>
      </c>
      <c r="H23" s="26">
        <f>ION + IRTC + IX32k</f>
        <v>3.1</v>
      </c>
      <c r="I23" s="23">
        <f>E23*H23/1000</f>
        <v>3087.2745</v>
      </c>
      <c r="J23" s="24">
        <f>I23/I25</f>
        <v>0.10011143581472179</v>
      </c>
      <c r="L23" t="s">
        <v>68</v>
      </c>
      <c r="M23">
        <v>550</v>
      </c>
    </row>
    <row r="24" spans="2:14" x14ac:dyDescent="0.35">
      <c r="B24" s="17"/>
      <c r="C24" s="18" t="s">
        <v>79</v>
      </c>
      <c r="D24" s="18" t="s">
        <v>88</v>
      </c>
      <c r="E24" s="19">
        <f>E3*1000</f>
        <v>1000000</v>
      </c>
      <c r="F24" s="14"/>
      <c r="G24" s="15"/>
      <c r="H24" s="31">
        <v>0</v>
      </c>
      <c r="I24" s="15">
        <f>E24*H24/1000</f>
        <v>0</v>
      </c>
      <c r="J24" s="16">
        <f>I24/I25</f>
        <v>0</v>
      </c>
    </row>
    <row r="25" spans="2:14" x14ac:dyDescent="0.35">
      <c r="B25" s="3"/>
      <c r="C25" s="3"/>
      <c r="D25" s="3"/>
      <c r="E25" s="3"/>
      <c r="F25" s="3"/>
      <c r="G25" s="3"/>
      <c r="H25" s="3"/>
      <c r="I25" s="4">
        <f>SUM(I11:I24)</f>
        <v>30838.379999999997</v>
      </c>
      <c r="J25" s="4"/>
    </row>
    <row r="27" spans="2:14" x14ac:dyDescent="0.35">
      <c r="E27" s="1"/>
    </row>
    <row r="28" spans="2:14" ht="26" x14ac:dyDescent="0.6">
      <c r="B28" s="36"/>
      <c r="C28" s="36"/>
      <c r="D28" s="37" t="s">
        <v>78</v>
      </c>
      <c r="E28" s="36"/>
      <c r="F28" s="36"/>
      <c r="G28" s="36"/>
      <c r="H28" s="36"/>
      <c r="I28" s="36"/>
      <c r="J28" s="36"/>
    </row>
    <row r="29" spans="2:14" x14ac:dyDescent="0.35">
      <c r="D29" t="s">
        <v>74</v>
      </c>
      <c r="E29" s="12">
        <v>500</v>
      </c>
      <c r="F29" t="s">
        <v>34</v>
      </c>
    </row>
    <row r="30" spans="2:14" x14ac:dyDescent="0.35">
      <c r="D30" t="s">
        <v>35</v>
      </c>
      <c r="E30" s="6">
        <f>I45/E29</f>
        <v>30.077080000000002</v>
      </c>
      <c r="F30" t="s">
        <v>36</v>
      </c>
    </row>
    <row r="31" spans="2:14" ht="15" thickBot="1" x14ac:dyDescent="0.4"/>
    <row r="32" spans="2:14" x14ac:dyDescent="0.35">
      <c r="B32" s="9" t="s">
        <v>0</v>
      </c>
      <c r="C32" s="10" t="s">
        <v>1</v>
      </c>
      <c r="D32" s="10" t="s">
        <v>86</v>
      </c>
      <c r="E32" s="8" t="s">
        <v>104</v>
      </c>
      <c r="F32" s="8"/>
      <c r="G32" s="8"/>
      <c r="H32" s="8" t="s">
        <v>32</v>
      </c>
      <c r="I32" s="8" t="s">
        <v>58</v>
      </c>
      <c r="J32" s="8" t="s">
        <v>72</v>
      </c>
      <c r="L32" s="2" t="s">
        <v>107</v>
      </c>
      <c r="M32" s="2"/>
      <c r="N32" s="2"/>
    </row>
    <row r="33" spans="2:15" ht="21" x14ac:dyDescent="0.45">
      <c r="B33" s="17" t="s">
        <v>2</v>
      </c>
      <c r="C33" s="18" t="s">
        <v>59</v>
      </c>
      <c r="D33" s="18" t="s">
        <v>60</v>
      </c>
      <c r="E33" s="14">
        <v>125</v>
      </c>
      <c r="F33" s="14"/>
      <c r="G33" s="14"/>
      <c r="H33" s="15">
        <f>ION + IRTC + IX32k + ICPU_Flash + ISTART_X16M</f>
        <v>5203.1000000000004</v>
      </c>
      <c r="I33" s="15">
        <f>E33*H33/1000</f>
        <v>650.38750000000005</v>
      </c>
      <c r="J33" s="16">
        <f>I33/I45</f>
        <v>4.3248048015299356E-2</v>
      </c>
      <c r="L33" t="s">
        <v>109</v>
      </c>
      <c r="M33" s="12">
        <v>20</v>
      </c>
      <c r="N33" t="s">
        <v>106</v>
      </c>
      <c r="O33" t="s">
        <v>111</v>
      </c>
    </row>
    <row r="34" spans="2:15" ht="16.5" x14ac:dyDescent="0.45">
      <c r="B34" s="20" t="s">
        <v>5</v>
      </c>
      <c r="C34" s="21" t="s">
        <v>6</v>
      </c>
      <c r="D34" s="21" t="s">
        <v>7</v>
      </c>
      <c r="E34" s="22">
        <v>675</v>
      </c>
      <c r="F34" s="22"/>
      <c r="G34" s="22"/>
      <c r="H34" s="23">
        <f>ION + IRTC + IX32k + ISTART_X16M</f>
        <v>1103.0999999999999</v>
      </c>
      <c r="I34" s="23">
        <f t="shared" ref="I34:I42" si="2">E34*H34/1000</f>
        <v>744.59249999999986</v>
      </c>
      <c r="J34" s="24">
        <f>I34/I45</f>
        <v>4.951228643206055E-2</v>
      </c>
      <c r="L34" t="s">
        <v>108</v>
      </c>
      <c r="M34" s="12">
        <v>40</v>
      </c>
      <c r="N34" t="s">
        <v>106</v>
      </c>
      <c r="O34" t="s">
        <v>110</v>
      </c>
    </row>
    <row r="35" spans="2:15" x14ac:dyDescent="0.35">
      <c r="B35" s="17" t="s">
        <v>8</v>
      </c>
      <c r="C35" s="18" t="s">
        <v>9</v>
      </c>
      <c r="D35" s="18" t="s">
        <v>10</v>
      </c>
      <c r="E35" s="14">
        <v>600</v>
      </c>
      <c r="F35" s="14"/>
      <c r="G35" s="14"/>
      <c r="H35" s="15">
        <f>ION + IRTC + IX32k + IX16M</f>
        <v>473.1</v>
      </c>
      <c r="I35" s="15">
        <f t="shared" si="2"/>
        <v>283.86</v>
      </c>
      <c r="J35" s="16">
        <f>I35/I45</f>
        <v>1.8875502542135075E-2</v>
      </c>
    </row>
    <row r="36" spans="2:15" x14ac:dyDescent="0.35">
      <c r="B36" s="20" t="s">
        <v>11</v>
      </c>
      <c r="C36" s="21" t="s">
        <v>61</v>
      </c>
      <c r="D36" s="21" t="s">
        <v>62</v>
      </c>
      <c r="E36" s="22">
        <v>90</v>
      </c>
      <c r="F36" s="22"/>
      <c r="G36" s="22"/>
      <c r="H36" s="23">
        <f>ION + IRTC + IX32k + IX16M + ISTART_TX</f>
        <v>7473.1</v>
      </c>
      <c r="I36" s="23">
        <f t="shared" si="2"/>
        <v>672.57899999999995</v>
      </c>
      <c r="J36" s="24">
        <f>I36/I45</f>
        <v>4.472368993266633E-2</v>
      </c>
    </row>
    <row r="37" spans="2:15" x14ac:dyDescent="0.35">
      <c r="B37" s="17" t="s">
        <v>14</v>
      </c>
      <c r="C37" s="18" t="s">
        <v>24</v>
      </c>
      <c r="D37" s="18" t="s">
        <v>63</v>
      </c>
      <c r="E37" s="14">
        <f>132+LFCLKCentral+LFCLKPeripheral</f>
        <v>192</v>
      </c>
      <c r="F37" s="14"/>
      <c r="G37" s="14"/>
      <c r="H37" s="15">
        <f>ION + IRTC + IX32k + IX16M + IRX</f>
        <v>13473.1</v>
      </c>
      <c r="I37" s="15">
        <f>((E37*H37)+(ICRYPTO*17))/1000</f>
        <v>2596.1852000000003</v>
      </c>
      <c r="J37" s="16">
        <f>I37/I45</f>
        <v>0.17263545530350688</v>
      </c>
    </row>
    <row r="38" spans="2:15" x14ac:dyDescent="0.35">
      <c r="B38" s="20" t="s">
        <v>17</v>
      </c>
      <c r="C38" s="21" t="s">
        <v>21</v>
      </c>
      <c r="D38" s="21" t="s">
        <v>64</v>
      </c>
      <c r="E38" s="22">
        <f>72</f>
        <v>72</v>
      </c>
      <c r="F38" s="22"/>
      <c r="G38" s="22"/>
      <c r="H38" s="23">
        <f>ION + IRTC + IX32k + IX16M + ISTART_RX + ICPU_Flash</f>
        <v>13273.1</v>
      </c>
      <c r="I38" s="23">
        <f t="shared" ref="I38" si="3">E38*H38/1000</f>
        <v>955.66320000000007</v>
      </c>
      <c r="J38" s="24">
        <f>I38/I45</f>
        <v>6.354760502016818E-2</v>
      </c>
    </row>
    <row r="39" spans="2:15" x14ac:dyDescent="0.35">
      <c r="B39" s="17" t="s">
        <v>17</v>
      </c>
      <c r="C39" s="18" t="s">
        <v>21</v>
      </c>
      <c r="D39" s="18" t="s">
        <v>73</v>
      </c>
      <c r="E39" s="14">
        <f>80</f>
        <v>80</v>
      </c>
      <c r="F39" s="14"/>
      <c r="G39" s="14"/>
      <c r="H39" s="15">
        <f>ION + IRTC + IX32k + IX16M + ISTART_RX</f>
        <v>9173.1</v>
      </c>
      <c r="I39" s="15">
        <f t="shared" si="2"/>
        <v>733.84799999999996</v>
      </c>
      <c r="J39" s="16">
        <f>I39/I45</f>
        <v>4.8797822129009856E-2</v>
      </c>
    </row>
    <row r="40" spans="2:15" x14ac:dyDescent="0.35">
      <c r="B40" s="20" t="s">
        <v>20</v>
      </c>
      <c r="C40" s="21" t="s">
        <v>18</v>
      </c>
      <c r="D40" s="21" t="s">
        <v>65</v>
      </c>
      <c r="E40" s="22">
        <v>78</v>
      </c>
      <c r="F40" s="22"/>
      <c r="G40" s="22"/>
      <c r="H40" s="23">
        <f>ION + IRTC + IX32k + IX16M + ITX</f>
        <v>10973.1</v>
      </c>
      <c r="I40" s="23">
        <f>((E40*H40)+(ICRYPTO*17))/1000</f>
        <v>865.2518</v>
      </c>
      <c r="J40" s="24">
        <f>I40/I45</f>
        <v>5.7535625133822828E-2</v>
      </c>
    </row>
    <row r="41" spans="2:15" x14ac:dyDescent="0.35">
      <c r="B41" s="17" t="s">
        <v>23</v>
      </c>
      <c r="C41" s="18" t="s">
        <v>66</v>
      </c>
      <c r="D41" s="18" t="s">
        <v>27</v>
      </c>
      <c r="E41" s="14">
        <v>181</v>
      </c>
      <c r="F41" s="14"/>
      <c r="G41" s="14"/>
      <c r="H41" s="15">
        <f>ION + IRTC + IX32k + ICPU_Flash</f>
        <v>4103.1000000000004</v>
      </c>
      <c r="I41" s="15">
        <f t="shared" si="2"/>
        <v>742.66110000000015</v>
      </c>
      <c r="J41" s="16">
        <f>I41/I45</f>
        <v>4.9383856411593152E-2</v>
      </c>
    </row>
    <row r="42" spans="2:15" x14ac:dyDescent="0.35">
      <c r="B42" s="20" t="s">
        <v>26</v>
      </c>
      <c r="C42" s="21" t="s">
        <v>67</v>
      </c>
      <c r="D42" s="21" t="s">
        <v>30</v>
      </c>
      <c r="E42" s="22">
        <f>E29*1000-SUM(E33:E41)</f>
        <v>497907</v>
      </c>
      <c r="F42" s="22"/>
      <c r="G42" s="22"/>
      <c r="H42" s="23">
        <f>ION + IRTC + IX32k</f>
        <v>3.1</v>
      </c>
      <c r="I42" s="23">
        <f t="shared" si="2"/>
        <v>1543.5117</v>
      </c>
      <c r="J42" s="24">
        <f>I42/I45</f>
        <v>0.10263707115185383</v>
      </c>
    </row>
    <row r="43" spans="2:15" x14ac:dyDescent="0.35">
      <c r="B43" s="17"/>
      <c r="C43" s="18" t="s">
        <v>79</v>
      </c>
      <c r="D43" s="18" t="s">
        <v>89</v>
      </c>
      <c r="E43" s="19">
        <f>E29*1000</f>
        <v>500000</v>
      </c>
      <c r="F43" s="14"/>
      <c r="G43" s="15"/>
      <c r="H43" s="31">
        <v>10.5</v>
      </c>
      <c r="I43" s="15">
        <f>E43*H43/1000</f>
        <v>5250</v>
      </c>
      <c r="J43" s="16">
        <f>I43/I45</f>
        <v>0.34910303792788394</v>
      </c>
    </row>
    <row r="44" spans="2:15" x14ac:dyDescent="0.35">
      <c r="B44" s="20"/>
      <c r="C44" s="21"/>
      <c r="D44" s="21"/>
      <c r="E44" s="25"/>
      <c r="F44" s="22"/>
      <c r="G44" s="23"/>
      <c r="H44" s="26"/>
      <c r="I44" s="23"/>
      <c r="J44" s="24"/>
    </row>
    <row r="45" spans="2:15" x14ac:dyDescent="0.35">
      <c r="B45" s="2"/>
      <c r="C45" s="2"/>
      <c r="D45" s="2"/>
      <c r="E45" s="2"/>
      <c r="F45" s="2"/>
      <c r="G45" s="2"/>
      <c r="H45" s="2"/>
      <c r="I45" s="11">
        <f>SUM(I33:I44)</f>
        <v>15038.54</v>
      </c>
      <c r="J45" s="11"/>
    </row>
    <row r="47" spans="2:15" ht="26" x14ac:dyDescent="0.6">
      <c r="B47" s="38"/>
      <c r="C47" s="38"/>
      <c r="D47" s="37" t="s">
        <v>98</v>
      </c>
      <c r="E47" s="38"/>
      <c r="F47" s="38"/>
      <c r="G47" s="38"/>
      <c r="H47" s="38"/>
      <c r="I47" s="38"/>
      <c r="J47" s="38"/>
    </row>
    <row r="48" spans="2:15" x14ac:dyDescent="0.35">
      <c r="D48" t="s">
        <v>98</v>
      </c>
      <c r="E48" s="29" t="s">
        <v>96</v>
      </c>
      <c r="H48">
        <f>VLOOKUP(E48,'Ark2'!K1:L4,2,FALSE)</f>
        <v>620</v>
      </c>
      <c r="I48" t="s">
        <v>83</v>
      </c>
    </row>
    <row r="49" spans="4:8" x14ac:dyDescent="0.35">
      <c r="D49" t="s">
        <v>78</v>
      </c>
      <c r="E49" s="12">
        <v>90</v>
      </c>
      <c r="F49" t="s">
        <v>80</v>
      </c>
      <c r="H49" s="7">
        <f>E49/1440</f>
        <v>6.25E-2</v>
      </c>
    </row>
    <row r="51" spans="4:8" x14ac:dyDescent="0.35">
      <c r="D51" t="s">
        <v>78</v>
      </c>
      <c r="E51" s="13">
        <f>E30*24*365.25*E49/1440000</f>
        <v>16.478480205000004</v>
      </c>
      <c r="F51" t="s">
        <v>103</v>
      </c>
    </row>
    <row r="52" spans="4:8" x14ac:dyDescent="0.35">
      <c r="D52" t="s">
        <v>77</v>
      </c>
      <c r="E52" s="13">
        <f>E8*24*365.25*(1-E49/1440)/1000</f>
        <v>253.43366163749999</v>
      </c>
      <c r="F52" t="s">
        <v>103</v>
      </c>
    </row>
    <row r="54" spans="4:8" x14ac:dyDescent="0.35">
      <c r="E54" s="27">
        <f>SUM(E51:E53)</f>
        <v>269.91214184249998</v>
      </c>
      <c r="F54" t="s">
        <v>103</v>
      </c>
    </row>
    <row r="55" spans="4:8" x14ac:dyDescent="0.35">
      <c r="E55" s="28">
        <f>H48/E54</f>
        <v>2.2970437556743351</v>
      </c>
      <c r="F55" t="s">
        <v>85</v>
      </c>
    </row>
    <row r="61" spans="4:8" x14ac:dyDescent="0.35">
      <c r="D61" s="32"/>
      <c r="E61" s="33">
        <v>0</v>
      </c>
      <c r="F61" s="32" t="s">
        <v>84</v>
      </c>
      <c r="G61" s="32"/>
    </row>
    <row r="62" spans="4:8" x14ac:dyDescent="0.35">
      <c r="D62" s="34" t="s">
        <v>81</v>
      </c>
      <c r="E62" s="35">
        <f>1*10*E61*365/3600</f>
        <v>0</v>
      </c>
      <c r="F62" s="34" t="s">
        <v>83</v>
      </c>
      <c r="G62" s="32"/>
    </row>
    <row r="63" spans="4:8" x14ac:dyDescent="0.35">
      <c r="D63" s="34" t="s">
        <v>82</v>
      </c>
      <c r="E63" s="35">
        <f>2.5*3*E61*365/3600</f>
        <v>0</v>
      </c>
      <c r="F63" s="34" t="s">
        <v>83</v>
      </c>
      <c r="G63" s="3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'Ark2'!$A$1:$A$8</xm:f>
          </x14:formula1>
          <xm:sqref>N18</xm:sqref>
        </x14:dataValidation>
        <x14:dataValidation type="list" allowBlank="1" showInputMessage="1" showErrorMessage="1">
          <x14:formula1>
            <xm:f>'Ark2'!$E$1:$E$2</xm:f>
          </x14:formula1>
          <xm:sqref>E6:E7</xm:sqref>
        </x14:dataValidation>
        <x14:dataValidation type="list" allowBlank="1" showInputMessage="1" showErrorMessage="1">
          <x14:formula1>
            <xm:f>'Ark2'!$H$1:$H$3</xm:f>
          </x14:formula1>
          <xm:sqref>N11</xm:sqref>
        </x14:dataValidation>
        <x14:dataValidation type="list" allowBlank="1" showInputMessage="1" showErrorMessage="1">
          <x14:formula1>
            <xm:f>'Ark2'!$K$1:$K$4</xm:f>
          </x14:formula1>
          <xm:sqref>E48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F7" sqref="F7"/>
    </sheetView>
  </sheetViews>
  <sheetFormatPr defaultRowHeight="14.5" x14ac:dyDescent="0.35"/>
  <cols>
    <col min="1" max="1" width="17.08984375" customWidth="1"/>
    <col min="5" max="5" width="10.08984375" customWidth="1"/>
    <col min="8" max="8" width="12.08984375" customWidth="1"/>
  </cols>
  <sheetData>
    <row r="1" spans="1:12" x14ac:dyDescent="0.35">
      <c r="A1" t="s">
        <v>39</v>
      </c>
      <c r="B1">
        <v>16000</v>
      </c>
      <c r="C1">
        <v>11800</v>
      </c>
      <c r="E1" t="s">
        <v>90</v>
      </c>
      <c r="F1">
        <v>0.75</v>
      </c>
      <c r="H1" t="s">
        <v>91</v>
      </c>
      <c r="I1">
        <v>0.6</v>
      </c>
      <c r="K1" t="s">
        <v>94</v>
      </c>
      <c r="L1">
        <v>90</v>
      </c>
    </row>
    <row r="2" spans="1:12" x14ac:dyDescent="0.35">
      <c r="A2" t="s">
        <v>40</v>
      </c>
      <c r="B2">
        <v>10500</v>
      </c>
      <c r="C2">
        <v>8000</v>
      </c>
      <c r="E2" t="s">
        <v>91</v>
      </c>
      <c r="F2">
        <v>1</v>
      </c>
      <c r="H2" t="s">
        <v>92</v>
      </c>
      <c r="I2">
        <v>2.6</v>
      </c>
      <c r="K2" t="s">
        <v>95</v>
      </c>
      <c r="L2">
        <v>225</v>
      </c>
    </row>
    <row r="3" spans="1:12" x14ac:dyDescent="0.35">
      <c r="A3" t="s">
        <v>41</v>
      </c>
      <c r="B3">
        <v>8000</v>
      </c>
      <c r="C3">
        <v>6300</v>
      </c>
      <c r="H3" t="s">
        <v>93</v>
      </c>
      <c r="I3">
        <v>3.8</v>
      </c>
      <c r="K3" t="s">
        <v>96</v>
      </c>
      <c r="L3">
        <v>620</v>
      </c>
    </row>
    <row r="4" spans="1:12" x14ac:dyDescent="0.35">
      <c r="A4" t="s">
        <v>42</v>
      </c>
      <c r="B4">
        <v>7000</v>
      </c>
      <c r="C4">
        <v>5600</v>
      </c>
      <c r="K4" t="s">
        <v>97</v>
      </c>
      <c r="L4">
        <v>1000</v>
      </c>
    </row>
    <row r="5" spans="1:12" x14ac:dyDescent="0.35">
      <c r="A5" t="s">
        <v>43</v>
      </c>
      <c r="B5">
        <v>6500</v>
      </c>
      <c r="C5">
        <v>5300</v>
      </c>
      <c r="E5" t="s">
        <v>101</v>
      </c>
      <c r="F5">
        <v>0</v>
      </c>
    </row>
    <row r="6" spans="1:12" x14ac:dyDescent="0.35">
      <c r="A6" t="s">
        <v>44</v>
      </c>
      <c r="B6">
        <v>6000</v>
      </c>
      <c r="C6">
        <v>5000</v>
      </c>
      <c r="E6" t="s">
        <v>102</v>
      </c>
      <c r="F6">
        <v>1</v>
      </c>
    </row>
    <row r="7" spans="1:12" x14ac:dyDescent="0.35">
      <c r="A7" t="s">
        <v>45</v>
      </c>
      <c r="B7">
        <v>5500</v>
      </c>
      <c r="C7">
        <v>4700</v>
      </c>
    </row>
    <row r="8" spans="1:12" x14ac:dyDescent="0.35">
      <c r="A8" t="s">
        <v>46</v>
      </c>
      <c r="B8">
        <v>5500</v>
      </c>
      <c r="C8">
        <v>4700</v>
      </c>
    </row>
  </sheetData>
  <dataValidations count="1">
    <dataValidation type="list" allowBlank="1" showInputMessage="1" showErrorMessage="1" sqref="A12">
      <formula1>$A$1:$A$8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18</vt:i4>
      </vt:variant>
    </vt:vector>
  </HeadingPairs>
  <TitlesOfParts>
    <vt:vector size="20" baseType="lpstr">
      <vt:lpstr>Ark1</vt:lpstr>
      <vt:lpstr>Ark2</vt:lpstr>
      <vt:lpstr>AdvChannels</vt:lpstr>
      <vt:lpstr>Broadcast</vt:lpstr>
      <vt:lpstr>DCDC</vt:lpstr>
      <vt:lpstr>ICPU_Flash</vt:lpstr>
      <vt:lpstr>ICRYPTO</vt:lpstr>
      <vt:lpstr>ION</vt:lpstr>
      <vt:lpstr>IRTC</vt:lpstr>
      <vt:lpstr>IRX</vt:lpstr>
      <vt:lpstr>ISTART_RX</vt:lpstr>
      <vt:lpstr>ISTART_TX</vt:lpstr>
      <vt:lpstr>ISTART_X16M</vt:lpstr>
      <vt:lpstr>ITX</vt:lpstr>
      <vt:lpstr>IX16M</vt:lpstr>
      <vt:lpstr>IX32_</vt:lpstr>
      <vt:lpstr>IX32k</vt:lpstr>
      <vt:lpstr>LFCLKCentral</vt:lpstr>
      <vt:lpstr>LFCLKPeripheral</vt:lpstr>
      <vt:lpstr>Payload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Sørensen</dc:creator>
  <cp:lastModifiedBy>Freddy Sørensen</cp:lastModifiedBy>
  <dcterms:created xsi:type="dcterms:W3CDTF">2015-04-17T08:12:06Z</dcterms:created>
  <dcterms:modified xsi:type="dcterms:W3CDTF">2015-04-27T13:59:03Z</dcterms:modified>
</cp:coreProperties>
</file>