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9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ctrlProps/ctrlProp25.xml" ContentType="application/vnd.ms-excel.controlproperties+xml"/>
  <Override PartName="/xl/ctrlProps/ctrlProp12.xml" ContentType="application/vnd.ms-excel.controlproperties+xml"/>
  <Override PartName="/xl/ctrlProps/ctrlProp18.xml" ContentType="application/vnd.ms-excel.controlproperties+xml"/>
  <Override PartName="/xl/ctrlProps/ctrlProp14.xml" ContentType="application/vnd.ms-excel.controlproperties+xml"/>
  <Override PartName="/xl/ctrlProps/ctrlProp17.xml" ContentType="application/vnd.ms-excel.controlproperties+xml"/>
  <Override PartName="/xl/ctrlProps/ctrlProp64.xml" ContentType="application/vnd.ms-excel.controlproperties+xml"/>
  <Override PartName="/xl/ctrlProps/ctrlProp16.xml" ContentType="application/vnd.ms-excel.controlproperties+xml"/>
  <Override PartName="/xl/ctrlProps/ctrlProp15.xml" ContentType="application/vnd.ms-excel.controlproperties+xml"/>
  <Override PartName="/xl/ctrlProps/ctrlProp13.xml" ContentType="application/vnd.ms-excel.controlproperties+xml"/>
  <Override PartName="/xl/ctrlProps/ctrlProp9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63.xml" ContentType="application/vnd.ms-excel.controlproperties+xml"/>
  <Override PartName="/xl/ctrlProps/ctrlProp20.xml" ContentType="application/vnd.ms-excel.controlproperties+xml"/>
  <Override PartName="/xl/ctrlProps/ctrlProp24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62.xml" ContentType="application/vnd.ms-excel.controlproperties+xml"/>
  <Override PartName="/xl/ctrlProps/ctrlProp55.xml" ContentType="application/vnd.ms-excel.controlproperties+xml"/>
  <Override PartName="/xl/ctrlProps/ctrlProp54.xml" ContentType="application/vnd.ms-excel.controlproperties+xml"/>
  <Override PartName="/xl/ctrlProps/ctrlProp53.xml" ContentType="application/vnd.ms-excel.controlproperties+xml"/>
  <Override PartName="/xl/ctrlProps/ctrlProp23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19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en_skoroszyt" defaultThemeVersion="124226"/>
  <bookViews>
    <workbookView xWindow="5475" yWindow="0" windowWidth="19140" windowHeight="11835"/>
  </bookViews>
  <sheets>
    <sheet name="Schemat A" sheetId="1" r:id="rId1"/>
    <sheet name="Schemat A′" sheetId="3" state="hidden" r:id="rId2"/>
    <sheet name="Schemat A RC2" sheetId="10" r:id="rId3"/>
    <sheet name="Schemat C" sheetId="4" r:id="rId4"/>
    <sheet name="Schemat C′" sheetId="5" state="hidden" r:id="rId5"/>
    <sheet name="Schemat K" sheetId="6" state="hidden" r:id="rId6"/>
    <sheet name="Schemat K′" sheetId="7" state="hidden" r:id="rId7"/>
    <sheet name="Szablony" sheetId="8" r:id="rId8"/>
    <sheet name="SAP" sheetId="2" state="hidden" r:id="rId9"/>
    <sheet name="Lista zmian" sheetId="9" state="hidden" r:id="rId10"/>
  </sheets>
  <definedNames>
    <definedName name="_xlnm._FilterDatabase" localSheetId="8" hidden="1">SAP!$F$134:$F$462</definedName>
    <definedName name="_xlnm.Print_Area" localSheetId="0">'Schemat A'!$A$1:$D$63</definedName>
    <definedName name="_xlnm.Print_Area" localSheetId="2">'Schemat A RC2'!$A$1:$D$66</definedName>
    <definedName name="_xlnm.Print_Area" localSheetId="1">'Schemat A′'!$A$1:$D$64</definedName>
    <definedName name="_xlnm.Print_Area" localSheetId="3">'Schemat C'!$A$1:$D$77</definedName>
  </definedNames>
  <calcPr calcId="145621"/>
</workbook>
</file>

<file path=xl/calcChain.xml><?xml version="1.0" encoding="utf-8"?>
<calcChain xmlns="http://schemas.openxmlformats.org/spreadsheetml/2006/main">
  <c r="A130" i="4" l="1"/>
  <c r="A59" i="2" l="1"/>
  <c r="A38" i="10" s="1"/>
  <c r="C174" i="8"/>
  <c r="C173" i="8"/>
  <c r="C172" i="8"/>
  <c r="C171" i="8"/>
  <c r="A118" i="10" l="1"/>
  <c r="C113" i="10"/>
  <c r="C57" i="10" s="1"/>
  <c r="A113" i="10"/>
  <c r="A57" i="10" s="1"/>
  <c r="C112" i="10"/>
  <c r="C56" i="10" s="1"/>
  <c r="A112" i="10"/>
  <c r="C111" i="10"/>
  <c r="C55" i="10" s="1"/>
  <c r="A111" i="10"/>
  <c r="A108" i="10"/>
  <c r="C120" i="10"/>
  <c r="A120" i="10"/>
  <c r="A65" i="10" s="1"/>
  <c r="D119" i="10"/>
  <c r="A110" i="10"/>
  <c r="B254" i="10"/>
  <c r="B255" i="10"/>
  <c r="B256" i="10"/>
  <c r="B257" i="10"/>
  <c r="B259" i="10"/>
  <c r="B260" i="10"/>
  <c r="B261" i="10"/>
  <c r="B262" i="10"/>
  <c r="B263" i="10"/>
  <c r="B253" i="10"/>
  <c r="E112" i="10" l="1"/>
  <c r="E113" i="10"/>
  <c r="E120" i="10"/>
  <c r="C65" i="10" s="1"/>
  <c r="E111" i="10"/>
  <c r="A55" i="10"/>
  <c r="A56" i="10"/>
  <c r="A114" i="10"/>
  <c r="A115" i="10"/>
  <c r="B237" i="10"/>
  <c r="U192" i="10" l="1"/>
  <c r="U194" i="10"/>
  <c r="M194" i="10" l="1"/>
  <c r="C221" i="10" l="1"/>
  <c r="C107" i="10" s="1"/>
  <c r="A40" i="2"/>
  <c r="A16" i="10" s="1"/>
  <c r="A41" i="2"/>
  <c r="A12" i="2"/>
  <c r="A2" i="10" s="1"/>
  <c r="A19" i="2"/>
  <c r="A6" i="4" s="1"/>
  <c r="D389" i="10"/>
  <c r="A126" i="10" s="1"/>
  <c r="B389" i="10"/>
  <c r="D388" i="10"/>
  <c r="A125" i="10" s="1"/>
  <c r="A68" i="10" s="1"/>
  <c r="B388" i="10"/>
  <c r="C381" i="10"/>
  <c r="C384" i="10" s="1"/>
  <c r="D384" i="10" s="1"/>
  <c r="D379" i="10"/>
  <c r="A123" i="10" s="1"/>
  <c r="A124" i="10" s="1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C359" i="10"/>
  <c r="D359" i="10" s="1"/>
  <c r="E274" i="10"/>
  <c r="E330" i="10" s="1"/>
  <c r="C329" i="10"/>
  <c r="A272" i="10"/>
  <c r="A271" i="10"/>
  <c r="A266" i="10"/>
  <c r="A265" i="10"/>
  <c r="B249" i="10"/>
  <c r="B248" i="10"/>
  <c r="J147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A130" i="10"/>
  <c r="A73" i="10" s="1"/>
  <c r="A129" i="10"/>
  <c r="A72" i="10" s="1"/>
  <c r="C128" i="10"/>
  <c r="A128" i="10"/>
  <c r="A71" i="10" s="1"/>
  <c r="C127" i="10"/>
  <c r="A127" i="10"/>
  <c r="A70" i="10" s="1"/>
  <c r="C125" i="10"/>
  <c r="E122" i="10"/>
  <c r="C122" i="10"/>
  <c r="C121" i="10"/>
  <c r="A119" i="10"/>
  <c r="A63" i="10" s="1"/>
  <c r="C118" i="10"/>
  <c r="A62" i="10"/>
  <c r="C117" i="10"/>
  <c r="A117" i="10"/>
  <c r="A61" i="10" s="1"/>
  <c r="C116" i="10"/>
  <c r="A116" i="10"/>
  <c r="A60" i="10" s="1"/>
  <c r="A59" i="10"/>
  <c r="A54" i="10"/>
  <c r="A109" i="10"/>
  <c r="A53" i="10" s="1"/>
  <c r="A107" i="10"/>
  <c r="A51" i="10" s="1"/>
  <c r="A52" i="10"/>
  <c r="A106" i="10"/>
  <c r="A50" i="10" s="1"/>
  <c r="A105" i="10"/>
  <c r="A49" i="10" s="1"/>
  <c r="C104" i="10"/>
  <c r="A104" i="10"/>
  <c r="C103" i="10"/>
  <c r="A103" i="10"/>
  <c r="E94" i="10"/>
  <c r="D93" i="10"/>
  <c r="D95" i="10" s="1"/>
  <c r="D38" i="10" s="1"/>
  <c r="C93" i="10"/>
  <c r="C95" i="10" s="1"/>
  <c r="C130" i="10" s="1"/>
  <c r="I91" i="10"/>
  <c r="D91" i="10"/>
  <c r="D274" i="10" s="1"/>
  <c r="A37" i="10"/>
  <c r="C129" i="10" l="1"/>
  <c r="D56" i="10"/>
  <c r="D57" i="10"/>
  <c r="D55" i="10"/>
  <c r="D65" i="10"/>
  <c r="C155" i="10"/>
  <c r="C156" i="10" s="1"/>
  <c r="C157" i="10" s="1"/>
  <c r="C158" i="10" s="1"/>
  <c r="C159" i="10" s="1"/>
  <c r="C16" i="10"/>
  <c r="D16" i="10" s="1"/>
  <c r="E103" i="10"/>
  <c r="C47" i="10" s="1"/>
  <c r="D47" i="10" s="1"/>
  <c r="E116" i="10"/>
  <c r="C60" i="10" s="1"/>
  <c r="D60" i="10" s="1"/>
  <c r="A47" i="10"/>
  <c r="E104" i="10"/>
  <c r="C48" i="10" s="1"/>
  <c r="D48" i="10" s="1"/>
  <c r="A66" i="10"/>
  <c r="A48" i="10"/>
  <c r="A6" i="1"/>
  <c r="A6" i="10"/>
  <c r="E107" i="10"/>
  <c r="C51" i="10" s="1"/>
  <c r="D51" i="10" s="1"/>
  <c r="E117" i="10"/>
  <c r="C61" i="10" s="1"/>
  <c r="D61" i="10" s="1"/>
  <c r="E118" i="10"/>
  <c r="C62" i="10" s="1"/>
  <c r="D62" i="10" s="1"/>
  <c r="C276" i="10"/>
  <c r="C124" i="10"/>
  <c r="E124" i="10" s="1"/>
  <c r="C67" i="10" s="1"/>
  <c r="D67" i="10" s="1"/>
  <c r="A67" i="10"/>
  <c r="C192" i="10"/>
  <c r="L192" i="10" s="1"/>
  <c r="C194" i="10"/>
  <c r="H194" i="10" s="1"/>
  <c r="C193" i="10"/>
  <c r="C195" i="10"/>
  <c r="C231" i="10"/>
  <c r="C114" i="10" s="1"/>
  <c r="C149" i="10"/>
  <c r="K147" i="10"/>
  <c r="L147" i="10" s="1"/>
  <c r="M147" i="10" s="1"/>
  <c r="A26" i="10" s="1"/>
  <c r="C137" i="10"/>
  <c r="C165" i="10"/>
  <c r="D39" i="10"/>
  <c r="C179" i="10"/>
  <c r="F179" i="10" s="1"/>
  <c r="G179" i="10" s="1"/>
  <c r="C177" i="10"/>
  <c r="F177" i="10" s="1"/>
  <c r="G177" i="10" s="1"/>
  <c r="C176" i="10"/>
  <c r="F176" i="10" s="1"/>
  <c r="C178" i="10"/>
  <c r="F178" i="10" s="1"/>
  <c r="G178" i="10" s="1"/>
  <c r="E126" i="10"/>
  <c r="C69" i="10" s="1"/>
  <c r="D69" i="10" s="1"/>
  <c r="A69" i="10"/>
  <c r="E127" i="10"/>
  <c r="E129" i="10"/>
  <c r="C71" i="10" s="1"/>
  <c r="D71" i="10" s="1"/>
  <c r="C183" i="10"/>
  <c r="C106" i="10"/>
  <c r="E106" i="10" s="1"/>
  <c r="C50" i="10" s="1"/>
  <c r="D50" i="10" s="1"/>
  <c r="C105" i="10"/>
  <c r="C126" i="10" s="1"/>
  <c r="E125" i="10"/>
  <c r="C68" i="10" s="1"/>
  <c r="D68" i="10" s="1"/>
  <c r="E128" i="10"/>
  <c r="C70" i="10" s="1"/>
  <c r="D70" i="10" s="1"/>
  <c r="E130" i="10"/>
  <c r="C72" i="10" s="1"/>
  <c r="D72" i="10" s="1"/>
  <c r="D356" i="10"/>
  <c r="D354" i="10"/>
  <c r="D352" i="10"/>
  <c r="D350" i="10"/>
  <c r="D355" i="10"/>
  <c r="D353" i="10"/>
  <c r="D351" i="10"/>
  <c r="D349" i="10"/>
  <c r="D347" i="10"/>
  <c r="D345" i="10"/>
  <c r="D343" i="10"/>
  <c r="D348" i="10"/>
  <c r="D346" i="10"/>
  <c r="D344" i="10"/>
  <c r="D342" i="10"/>
  <c r="D338" i="10"/>
  <c r="D334" i="10"/>
  <c r="D333" i="10"/>
  <c r="D326" i="10"/>
  <c r="D325" i="10"/>
  <c r="D318" i="10"/>
  <c r="D317" i="10"/>
  <c r="D310" i="10"/>
  <c r="D309" i="10"/>
  <c r="D302" i="10"/>
  <c r="D339" i="10"/>
  <c r="D332" i="10"/>
  <c r="D331" i="10"/>
  <c r="D324" i="10"/>
  <c r="D323" i="10"/>
  <c r="D316" i="10"/>
  <c r="D315" i="10"/>
  <c r="D308" i="10"/>
  <c r="D307" i="10"/>
  <c r="D301" i="10"/>
  <c r="D299" i="10"/>
  <c r="D297" i="10"/>
  <c r="D295" i="10"/>
  <c r="D293" i="10"/>
  <c r="D291" i="10"/>
  <c r="D289" i="10"/>
  <c r="D287" i="10"/>
  <c r="D285" i="10"/>
  <c r="D283" i="10"/>
  <c r="D281" i="10"/>
  <c r="D279" i="10"/>
  <c r="D340" i="10"/>
  <c r="D330" i="10"/>
  <c r="D329" i="10"/>
  <c r="D322" i="10"/>
  <c r="D321" i="10"/>
  <c r="D314" i="10"/>
  <c r="D313" i="10"/>
  <c r="D306" i="10"/>
  <c r="D305" i="10"/>
  <c r="D341" i="10"/>
  <c r="D337" i="10"/>
  <c r="D336" i="10"/>
  <c r="D335" i="10"/>
  <c r="D328" i="10"/>
  <c r="D327" i="10"/>
  <c r="D320" i="10"/>
  <c r="D319" i="10"/>
  <c r="D312" i="10"/>
  <c r="D311" i="10"/>
  <c r="D304" i="10"/>
  <c r="D303" i="10"/>
  <c r="D300" i="10"/>
  <c r="D298" i="10"/>
  <c r="D296" i="10"/>
  <c r="D294" i="10"/>
  <c r="D292" i="10"/>
  <c r="D290" i="10"/>
  <c r="D288" i="10"/>
  <c r="D286" i="10"/>
  <c r="D284" i="10"/>
  <c r="D282" i="10"/>
  <c r="D280" i="10"/>
  <c r="D278" i="10"/>
  <c r="D276" i="10"/>
  <c r="D275" i="10"/>
  <c r="D277" i="10"/>
  <c r="C15" i="10"/>
  <c r="D15" i="10" s="1"/>
  <c r="C123" i="10"/>
  <c r="E123" i="10" s="1"/>
  <c r="E302" i="10"/>
  <c r="C305" i="10"/>
  <c r="E310" i="10"/>
  <c r="C313" i="10"/>
  <c r="E318" i="10"/>
  <c r="C321" i="10"/>
  <c r="E326" i="10"/>
  <c r="E334" i="10"/>
  <c r="C355" i="10"/>
  <c r="C353" i="10"/>
  <c r="C351" i="10"/>
  <c r="C349" i="10"/>
  <c r="C347" i="10"/>
  <c r="C345" i="10"/>
  <c r="C343" i="10"/>
  <c r="C341" i="10"/>
  <c r="C339" i="10"/>
  <c r="C337" i="10"/>
  <c r="C356" i="10"/>
  <c r="C354" i="10"/>
  <c r="C352" i="10"/>
  <c r="C350" i="10"/>
  <c r="C348" i="10"/>
  <c r="C346" i="10"/>
  <c r="C344" i="10"/>
  <c r="C342" i="10"/>
  <c r="C340" i="10"/>
  <c r="C338" i="10"/>
  <c r="C336" i="10"/>
  <c r="C334" i="10"/>
  <c r="C332" i="10"/>
  <c r="C330" i="10"/>
  <c r="C328" i="10"/>
  <c r="C326" i="10"/>
  <c r="C324" i="10"/>
  <c r="C322" i="10"/>
  <c r="C320" i="10"/>
  <c r="C318" i="10"/>
  <c r="C316" i="10"/>
  <c r="C314" i="10"/>
  <c r="C312" i="10"/>
  <c r="C310" i="10"/>
  <c r="C308" i="10"/>
  <c r="C306" i="10"/>
  <c r="C304" i="10"/>
  <c r="C302" i="10"/>
  <c r="C275" i="10"/>
  <c r="E276" i="10"/>
  <c r="C277" i="10"/>
  <c r="E278" i="10"/>
  <c r="C279" i="10"/>
  <c r="E280" i="10"/>
  <c r="C281" i="10"/>
  <c r="E282" i="10"/>
  <c r="C283" i="10"/>
  <c r="E284" i="10"/>
  <c r="C285" i="10"/>
  <c r="E286" i="10"/>
  <c r="C287" i="10"/>
  <c r="E288" i="10"/>
  <c r="C289" i="10"/>
  <c r="E290" i="10"/>
  <c r="C291" i="10"/>
  <c r="E292" i="10"/>
  <c r="C293" i="10"/>
  <c r="E294" i="10"/>
  <c r="C295" i="10"/>
  <c r="E296" i="10"/>
  <c r="C297" i="10"/>
  <c r="E298" i="10"/>
  <c r="C299" i="10"/>
  <c r="E300" i="10"/>
  <c r="C301" i="10"/>
  <c r="E304" i="10"/>
  <c r="C307" i="10"/>
  <c r="E312" i="10"/>
  <c r="C315" i="10"/>
  <c r="E320" i="10"/>
  <c r="C323" i="10"/>
  <c r="E328" i="10"/>
  <c r="C331" i="10"/>
  <c r="E336" i="10"/>
  <c r="E306" i="10"/>
  <c r="C309" i="10"/>
  <c r="E314" i="10"/>
  <c r="C317" i="10"/>
  <c r="E322" i="10"/>
  <c r="C325" i="10"/>
  <c r="C333" i="10"/>
  <c r="E356" i="10"/>
  <c r="E354" i="10"/>
  <c r="E352" i="10"/>
  <c r="E350" i="10"/>
  <c r="E348" i="10"/>
  <c r="E346" i="10"/>
  <c r="E344" i="10"/>
  <c r="E342" i="10"/>
  <c r="E340" i="10"/>
  <c r="E338" i="10"/>
  <c r="E355" i="10"/>
  <c r="E353" i="10"/>
  <c r="E351" i="10"/>
  <c r="E349" i="10"/>
  <c r="E347" i="10"/>
  <c r="E345" i="10"/>
  <c r="E343" i="10"/>
  <c r="E341" i="10"/>
  <c r="E339" i="10"/>
  <c r="E337" i="10"/>
  <c r="E335" i="10"/>
  <c r="E333" i="10"/>
  <c r="E331" i="10"/>
  <c r="E329" i="10"/>
  <c r="E327" i="10"/>
  <c r="E325" i="10"/>
  <c r="E323" i="10"/>
  <c r="E321" i="10"/>
  <c r="E319" i="10"/>
  <c r="E317" i="10"/>
  <c r="E315" i="10"/>
  <c r="E313" i="10"/>
  <c r="E311" i="10"/>
  <c r="E309" i="10"/>
  <c r="E307" i="10"/>
  <c r="E305" i="10"/>
  <c r="E303" i="10"/>
  <c r="E275" i="10"/>
  <c r="E277" i="10"/>
  <c r="C278" i="10"/>
  <c r="E279" i="10"/>
  <c r="C280" i="10"/>
  <c r="E281" i="10"/>
  <c r="C282" i="10"/>
  <c r="E283" i="10"/>
  <c r="C284" i="10"/>
  <c r="E285" i="10"/>
  <c r="C286" i="10"/>
  <c r="E287" i="10"/>
  <c r="C288" i="10"/>
  <c r="E289" i="10"/>
  <c r="C290" i="10"/>
  <c r="E291" i="10"/>
  <c r="C292" i="10"/>
  <c r="E293" i="10"/>
  <c r="C294" i="10"/>
  <c r="E295" i="10"/>
  <c r="C296" i="10"/>
  <c r="E297" i="10"/>
  <c r="C298" i="10"/>
  <c r="E299" i="10"/>
  <c r="C300" i="10"/>
  <c r="E301" i="10"/>
  <c r="C303" i="10"/>
  <c r="E308" i="10"/>
  <c r="C311" i="10"/>
  <c r="E316" i="10"/>
  <c r="C319" i="10"/>
  <c r="E324" i="10"/>
  <c r="C327" i="10"/>
  <c r="E332" i="10"/>
  <c r="C335" i="10"/>
  <c r="C383" i="10"/>
  <c r="D383" i="10" s="1"/>
  <c r="C385" i="10"/>
  <c r="D385" i="10" s="1"/>
  <c r="C382" i="10"/>
  <c r="D382" i="10" s="1"/>
  <c r="A132" i="2"/>
  <c r="H132" i="4" s="1"/>
  <c r="A132" i="4"/>
  <c r="B295" i="4"/>
  <c r="L193" i="10" l="1"/>
  <c r="M193" i="10" s="1"/>
  <c r="R193" i="10"/>
  <c r="R195" i="10"/>
  <c r="U195" i="10" s="1"/>
  <c r="L195" i="10"/>
  <c r="M192" i="10"/>
  <c r="O192" i="10"/>
  <c r="F194" i="10"/>
  <c r="F193" i="10"/>
  <c r="F310" i="10"/>
  <c r="G310" i="10" s="1"/>
  <c r="F326" i="10"/>
  <c r="G326" i="10" s="1"/>
  <c r="F329" i="10"/>
  <c r="G329" i="10" s="1"/>
  <c r="F300" i="10"/>
  <c r="G300" i="10" s="1"/>
  <c r="F288" i="10"/>
  <c r="G288" i="10" s="1"/>
  <c r="F317" i="10"/>
  <c r="G317" i="10" s="1"/>
  <c r="F318" i="10"/>
  <c r="G318" i="10" s="1"/>
  <c r="F334" i="10"/>
  <c r="G334" i="10" s="1"/>
  <c r="F335" i="10"/>
  <c r="G335" i="10" s="1"/>
  <c r="F319" i="10"/>
  <c r="G319" i="10" s="1"/>
  <c r="F298" i="10"/>
  <c r="G298" i="10" s="1"/>
  <c r="F294" i="10"/>
  <c r="G294" i="10" s="1"/>
  <c r="F290" i="10"/>
  <c r="G290" i="10" s="1"/>
  <c r="F286" i="10"/>
  <c r="G286" i="10" s="1"/>
  <c r="F282" i="10"/>
  <c r="G282" i="10" s="1"/>
  <c r="F278" i="10"/>
  <c r="G278" i="10" s="1"/>
  <c r="F333" i="10"/>
  <c r="G333" i="10" s="1"/>
  <c r="F331" i="10"/>
  <c r="G331" i="10" s="1"/>
  <c r="F315" i="10"/>
  <c r="G315" i="10" s="1"/>
  <c r="F301" i="10"/>
  <c r="G301" i="10" s="1"/>
  <c r="F297" i="10"/>
  <c r="G297" i="10" s="1"/>
  <c r="F293" i="10"/>
  <c r="G293" i="10" s="1"/>
  <c r="F289" i="10"/>
  <c r="G289" i="10" s="1"/>
  <c r="F285" i="10"/>
  <c r="G285" i="10" s="1"/>
  <c r="F281" i="10"/>
  <c r="G281" i="10" s="1"/>
  <c r="F277" i="10"/>
  <c r="G277" i="10" s="1"/>
  <c r="F312" i="10"/>
  <c r="G312" i="10" s="1"/>
  <c r="F328" i="10"/>
  <c r="G328" i="10" s="1"/>
  <c r="F344" i="10"/>
  <c r="G344" i="10" s="1"/>
  <c r="F352" i="10"/>
  <c r="G352" i="10" s="1"/>
  <c r="F339" i="10"/>
  <c r="G339" i="10" s="1"/>
  <c r="F347" i="10"/>
  <c r="G347" i="10" s="1"/>
  <c r="F355" i="10"/>
  <c r="G355" i="10" s="1"/>
  <c r="F296" i="10"/>
  <c r="G296" i="10" s="1"/>
  <c r="F284" i="10"/>
  <c r="G284" i="10" s="1"/>
  <c r="F280" i="10"/>
  <c r="G280" i="10" s="1"/>
  <c r="F323" i="10"/>
  <c r="G323" i="10" s="1"/>
  <c r="F307" i="10"/>
  <c r="G307" i="10" s="1"/>
  <c r="E105" i="10"/>
  <c r="C49" i="10" s="1"/>
  <c r="D49" i="10" s="1"/>
  <c r="F292" i="10"/>
  <c r="G292" i="10" s="1"/>
  <c r="F302" i="10"/>
  <c r="G302" i="10" s="1"/>
  <c r="F276" i="10"/>
  <c r="G276" i="10" s="1"/>
  <c r="F303" i="10"/>
  <c r="G303" i="10" s="1"/>
  <c r="F327" i="10"/>
  <c r="G327" i="10" s="1"/>
  <c r="F311" i="10"/>
  <c r="G311" i="10" s="1"/>
  <c r="F299" i="10"/>
  <c r="G299" i="10" s="1"/>
  <c r="F295" i="10"/>
  <c r="G295" i="10" s="1"/>
  <c r="F291" i="10"/>
  <c r="G291" i="10" s="1"/>
  <c r="F287" i="10"/>
  <c r="G287" i="10" s="1"/>
  <c r="F283" i="10"/>
  <c r="G283" i="10" s="1"/>
  <c r="F279" i="10"/>
  <c r="G279" i="10" s="1"/>
  <c r="F275" i="10"/>
  <c r="G275" i="10" s="1"/>
  <c r="F308" i="10"/>
  <c r="G308" i="10" s="1"/>
  <c r="F316" i="10"/>
  <c r="G316" i="10" s="1"/>
  <c r="F324" i="10"/>
  <c r="G324" i="10" s="1"/>
  <c r="F332" i="10"/>
  <c r="G332" i="10" s="1"/>
  <c r="F340" i="10"/>
  <c r="G340" i="10" s="1"/>
  <c r="F348" i="10"/>
  <c r="G348" i="10" s="1"/>
  <c r="F356" i="10"/>
  <c r="G356" i="10" s="1"/>
  <c r="F343" i="10"/>
  <c r="G343" i="10" s="1"/>
  <c r="F351" i="10"/>
  <c r="G351" i="10" s="1"/>
  <c r="F180" i="10"/>
  <c r="C98" i="10" s="1"/>
  <c r="G176" i="10"/>
  <c r="G180" i="10" s="1"/>
  <c r="A98" i="10" s="1"/>
  <c r="F137" i="10"/>
  <c r="C143" i="10"/>
  <c r="F143" i="10" s="1"/>
  <c r="C141" i="10"/>
  <c r="F141" i="10" s="1"/>
  <c r="C139" i="10"/>
  <c r="F139" i="10" s="1"/>
  <c r="C142" i="10"/>
  <c r="F142" i="10" s="1"/>
  <c r="C138" i="10"/>
  <c r="F138" i="10" s="1"/>
  <c r="C140" i="10"/>
  <c r="F140" i="10" s="1"/>
  <c r="E114" i="10"/>
  <c r="C58" i="10" s="1"/>
  <c r="D58" i="10" s="1"/>
  <c r="A58" i="10"/>
  <c r="F192" i="10"/>
  <c r="F342" i="10"/>
  <c r="G342" i="10" s="1"/>
  <c r="F350" i="10"/>
  <c r="G350" i="10" s="1"/>
  <c r="F337" i="10"/>
  <c r="G337" i="10" s="1"/>
  <c r="F345" i="10"/>
  <c r="G345" i="10" s="1"/>
  <c r="F353" i="10"/>
  <c r="G353" i="10" s="1"/>
  <c r="F321" i="10"/>
  <c r="G321" i="10" s="1"/>
  <c r="F305" i="10"/>
  <c r="G305" i="10" s="1"/>
  <c r="C73" i="10"/>
  <c r="D73" i="10" s="1"/>
  <c r="C66" i="10"/>
  <c r="D66" i="10" s="1"/>
  <c r="F336" i="10"/>
  <c r="G336" i="10" s="1"/>
  <c r="C184" i="10"/>
  <c r="F183" i="10"/>
  <c r="F157" i="10"/>
  <c r="F156" i="10"/>
  <c r="F159" i="10"/>
  <c r="F155" i="10"/>
  <c r="F158" i="10"/>
  <c r="C152" i="10"/>
  <c r="F152" i="10" s="1"/>
  <c r="C150" i="10"/>
  <c r="F150" i="10" s="1"/>
  <c r="F149" i="10"/>
  <c r="C151" i="10"/>
  <c r="F151" i="10" s="1"/>
  <c r="F304" i="10"/>
  <c r="G304" i="10" s="1"/>
  <c r="F320" i="10"/>
  <c r="G320" i="10" s="1"/>
  <c r="D386" i="10"/>
  <c r="I122" i="10" s="1"/>
  <c r="F325" i="10"/>
  <c r="G325" i="10" s="1"/>
  <c r="F309" i="10"/>
  <c r="G309" i="10" s="1"/>
  <c r="F306" i="10"/>
  <c r="G306" i="10" s="1"/>
  <c r="F314" i="10"/>
  <c r="G314" i="10" s="1"/>
  <c r="F322" i="10"/>
  <c r="G322" i="10" s="1"/>
  <c r="F330" i="10"/>
  <c r="G330" i="10" s="1"/>
  <c r="F338" i="10"/>
  <c r="G338" i="10" s="1"/>
  <c r="F346" i="10"/>
  <c r="G346" i="10" s="1"/>
  <c r="F354" i="10"/>
  <c r="G354" i="10" s="1"/>
  <c r="F341" i="10"/>
  <c r="G341" i="10" s="1"/>
  <c r="F349" i="10"/>
  <c r="G349" i="10" s="1"/>
  <c r="F313" i="10"/>
  <c r="G313" i="10" s="1"/>
  <c r="F165" i="10"/>
  <c r="C166" i="10"/>
  <c r="F166" i="10" s="1"/>
  <c r="C168" i="10"/>
  <c r="F168" i="10" s="1"/>
  <c r="C167" i="10"/>
  <c r="F167" i="10" s="1"/>
  <c r="E299" i="4"/>
  <c r="A133" i="4"/>
  <c r="B297" i="4"/>
  <c r="S193" i="10" l="1"/>
  <c r="U193" i="10"/>
  <c r="U196" i="10" s="1"/>
  <c r="O193" i="10"/>
  <c r="S195" i="10"/>
  <c r="O195" i="10"/>
  <c r="M195" i="10"/>
  <c r="M196" i="10" s="1"/>
  <c r="A101" i="10" s="1"/>
  <c r="R196" i="10"/>
  <c r="C102" i="10" s="1"/>
  <c r="G193" i="10"/>
  <c r="I193" i="10"/>
  <c r="G194" i="10"/>
  <c r="I194" i="10"/>
  <c r="I166" i="10"/>
  <c r="G166" i="10"/>
  <c r="G150" i="10"/>
  <c r="I150" i="10"/>
  <c r="E98" i="10"/>
  <c r="C42" i="10" s="1"/>
  <c r="D42" i="10" s="1"/>
  <c r="A42" i="10"/>
  <c r="I168" i="10"/>
  <c r="G168" i="10"/>
  <c r="I151" i="10"/>
  <c r="G151" i="10"/>
  <c r="I158" i="10"/>
  <c r="G158" i="10"/>
  <c r="I157" i="10"/>
  <c r="G157" i="10"/>
  <c r="C185" i="10"/>
  <c r="F184" i="10"/>
  <c r="G192" i="10"/>
  <c r="F196" i="10"/>
  <c r="I192" i="10"/>
  <c r="I140" i="10"/>
  <c r="G140" i="10"/>
  <c r="I141" i="10"/>
  <c r="G141" i="10"/>
  <c r="I155" i="10"/>
  <c r="G155" i="10"/>
  <c r="I138" i="10"/>
  <c r="G138" i="10"/>
  <c r="I143" i="10"/>
  <c r="G143" i="10"/>
  <c r="F160" i="10"/>
  <c r="L196" i="10"/>
  <c r="C101" i="10" s="1"/>
  <c r="I142" i="10"/>
  <c r="G142" i="10"/>
  <c r="I137" i="10"/>
  <c r="F144" i="10"/>
  <c r="C97" i="10" s="1"/>
  <c r="G137" i="10"/>
  <c r="G357" i="10"/>
  <c r="D121" i="10" s="1"/>
  <c r="A121" i="10" s="1"/>
  <c r="F153" i="10"/>
  <c r="I149" i="10"/>
  <c r="G149" i="10"/>
  <c r="I165" i="10"/>
  <c r="G165" i="10"/>
  <c r="F169" i="10"/>
  <c r="I159" i="10"/>
  <c r="G159" i="10"/>
  <c r="I167" i="10"/>
  <c r="G167" i="10"/>
  <c r="G152" i="10"/>
  <c r="I152" i="10"/>
  <c r="I156" i="10"/>
  <c r="G156" i="10"/>
  <c r="I183" i="10"/>
  <c r="G183" i="10"/>
  <c r="I139" i="10"/>
  <c r="G139" i="10"/>
  <c r="B195" i="4"/>
  <c r="B196" i="4"/>
  <c r="B197" i="4"/>
  <c r="B198" i="4"/>
  <c r="B199" i="4"/>
  <c r="B200" i="4"/>
  <c r="B194" i="4"/>
  <c r="O196" i="10" l="1"/>
  <c r="S196" i="10"/>
  <c r="A102" i="10" s="1"/>
  <c r="G196" i="10"/>
  <c r="A100" i="10" s="1"/>
  <c r="I196" i="10"/>
  <c r="G169" i="10"/>
  <c r="I144" i="10"/>
  <c r="E145" i="10" s="1"/>
  <c r="C115" i="10" s="1"/>
  <c r="E115" i="10" s="1"/>
  <c r="C59" i="10" s="1"/>
  <c r="D59" i="10" s="1"/>
  <c r="E121" i="10"/>
  <c r="C64" i="10" s="1"/>
  <c r="D64" i="10" s="1"/>
  <c r="A64" i="10"/>
  <c r="G153" i="10"/>
  <c r="G144" i="10"/>
  <c r="C145" i="10" s="1"/>
  <c r="G160" i="10"/>
  <c r="C161" i="10" s="1"/>
  <c r="A97" i="10" s="1"/>
  <c r="I184" i="10"/>
  <c r="G184" i="10"/>
  <c r="I153" i="10"/>
  <c r="E101" i="10"/>
  <c r="C45" i="10" s="1"/>
  <c r="D45" i="10" s="1"/>
  <c r="A45" i="10"/>
  <c r="I160" i="10"/>
  <c r="C186" i="10"/>
  <c r="F185" i="10"/>
  <c r="I169" i="10"/>
  <c r="C263" i="4"/>
  <c r="C123" i="4" s="1"/>
  <c r="C217" i="1"/>
  <c r="C137" i="4"/>
  <c r="C73" i="4" s="1"/>
  <c r="A137" i="4"/>
  <c r="A73" i="4" s="1"/>
  <c r="D432" i="4"/>
  <c r="A144" i="4" s="1"/>
  <c r="B432" i="4"/>
  <c r="A42" i="4"/>
  <c r="A38" i="1"/>
  <c r="A131" i="2"/>
  <c r="A46" i="10" l="1"/>
  <c r="E102" i="10"/>
  <c r="C46" i="10" s="1"/>
  <c r="D46" i="10" s="1"/>
  <c r="R198" i="10"/>
  <c r="C216" i="10" s="1"/>
  <c r="A44" i="10"/>
  <c r="C100" i="10"/>
  <c r="E100" i="10" s="1"/>
  <c r="C44" i="10" s="1"/>
  <c r="D44" i="10" s="1"/>
  <c r="C187" i="10"/>
  <c r="F186" i="10"/>
  <c r="I185" i="10"/>
  <c r="G185" i="10"/>
  <c r="E97" i="10"/>
  <c r="C41" i="10" s="1"/>
  <c r="D41" i="10" s="1"/>
  <c r="A41" i="10"/>
  <c r="E137" i="4"/>
  <c r="A80" i="4"/>
  <c r="E304" i="4"/>
  <c r="C223" i="10" l="1"/>
  <c r="C228" i="10" s="1"/>
  <c r="C110" i="10" s="1"/>
  <c r="E110" i="10" s="1"/>
  <c r="C54" i="10" s="1"/>
  <c r="D54" i="10" s="1"/>
  <c r="C119" i="10"/>
  <c r="C188" i="10"/>
  <c r="F188" i="10" s="1"/>
  <c r="F187" i="10"/>
  <c r="G186" i="10"/>
  <c r="I186" i="10"/>
  <c r="H138" i="4"/>
  <c r="E74" i="4" s="1"/>
  <c r="D102" i="4"/>
  <c r="D372" i="1"/>
  <c r="A119" i="1" s="1"/>
  <c r="A66" i="1" s="1"/>
  <c r="B372" i="1"/>
  <c r="C109" i="10" l="1"/>
  <c r="E109" i="10" s="1"/>
  <c r="C53" i="10" s="1"/>
  <c r="D53" i="10" s="1"/>
  <c r="C108" i="10"/>
  <c r="E108" i="10" s="1"/>
  <c r="C52" i="10" s="1"/>
  <c r="D52" i="10" s="1"/>
  <c r="E119" i="10"/>
  <c r="C63" i="10" s="1"/>
  <c r="D63" i="10" s="1"/>
  <c r="I187" i="10"/>
  <c r="G187" i="10"/>
  <c r="F189" i="10"/>
  <c r="C99" i="10" s="1"/>
  <c r="I188" i="10"/>
  <c r="G188" i="10"/>
  <c r="A130" i="2"/>
  <c r="D88" i="1"/>
  <c r="C257" i="1"/>
  <c r="C297" i="1" s="1"/>
  <c r="A81" i="2"/>
  <c r="D81" i="10" s="1"/>
  <c r="G189" i="10" l="1"/>
  <c r="A99" i="10" s="1"/>
  <c r="E99" i="10" s="1"/>
  <c r="C43" i="10" s="1"/>
  <c r="D43" i="10" s="1"/>
  <c r="I114" i="1"/>
  <c r="A31" i="1" s="1"/>
  <c r="I121" i="10"/>
  <c r="I189" i="10"/>
  <c r="D78" i="1"/>
  <c r="J92" i="4"/>
  <c r="D92" i="4"/>
  <c r="C338" i="1"/>
  <c r="C334" i="1"/>
  <c r="C330" i="1"/>
  <c r="C326" i="1"/>
  <c r="C337" i="1"/>
  <c r="C333" i="1"/>
  <c r="C329" i="1"/>
  <c r="C325" i="1"/>
  <c r="C323" i="1"/>
  <c r="C336" i="1"/>
  <c r="C332" i="1"/>
  <c r="C328" i="1"/>
  <c r="C324" i="1"/>
  <c r="C339" i="1"/>
  <c r="C335" i="1"/>
  <c r="C331" i="1"/>
  <c r="C327" i="1"/>
  <c r="C319" i="1"/>
  <c r="C308" i="1"/>
  <c r="C289" i="1"/>
  <c r="C294" i="1"/>
  <c r="C318" i="1"/>
  <c r="C312" i="1"/>
  <c r="C307" i="1"/>
  <c r="C302" i="1"/>
  <c r="C296" i="1"/>
  <c r="C293" i="1"/>
  <c r="C314" i="1"/>
  <c r="C303" i="1"/>
  <c r="C298" i="1"/>
  <c r="C290" i="1"/>
  <c r="C322" i="1"/>
  <c r="C316" i="1"/>
  <c r="C311" i="1"/>
  <c r="C306" i="1"/>
  <c r="C300" i="1"/>
  <c r="C295" i="1"/>
  <c r="C291" i="1"/>
  <c r="C320" i="1"/>
  <c r="C315" i="1"/>
  <c r="C310" i="1"/>
  <c r="C304" i="1"/>
  <c r="C299" i="1"/>
  <c r="C292" i="1"/>
  <c r="C321" i="1"/>
  <c r="C317" i="1"/>
  <c r="C313" i="1"/>
  <c r="C309" i="1"/>
  <c r="C305" i="1"/>
  <c r="C301" i="1"/>
  <c r="C179" i="8"/>
  <c r="A43" i="10" l="1"/>
  <c r="A125" i="2"/>
  <c r="B136" i="8" s="1"/>
  <c r="A123" i="2"/>
  <c r="B134" i="8" l="1"/>
  <c r="B179" i="8"/>
  <c r="C170" i="8"/>
  <c r="C165" i="8"/>
  <c r="C163" i="8"/>
  <c r="A56" i="8"/>
  <c r="A29" i="8"/>
  <c r="A15" i="8"/>
  <c r="A135" i="4" l="1"/>
  <c r="C136" i="4" l="1"/>
  <c r="C72" i="4" s="1"/>
  <c r="A136" i="4"/>
  <c r="A129" i="2"/>
  <c r="C25" i="4" s="1"/>
  <c r="A134" i="4"/>
  <c r="C134" i="4"/>
  <c r="C299" i="4"/>
  <c r="A46" i="2"/>
  <c r="A25" i="4" s="1"/>
  <c r="E136" i="4" l="1"/>
  <c r="A72" i="4"/>
  <c r="E134" i="4"/>
  <c r="C70" i="4" s="1"/>
  <c r="A70" i="4"/>
  <c r="C135" i="4"/>
  <c r="C71" i="4" s="1"/>
  <c r="A71" i="4"/>
  <c r="C133" i="4"/>
  <c r="A69" i="4"/>
  <c r="C129" i="4"/>
  <c r="C130" i="4"/>
  <c r="C132" i="4"/>
  <c r="A68" i="4"/>
  <c r="A127" i="4"/>
  <c r="E133" i="4" l="1"/>
  <c r="C69" i="4" s="1"/>
  <c r="E135" i="4"/>
  <c r="E132" i="4"/>
  <c r="C68" i="4" s="1"/>
  <c r="C181" i="8"/>
  <c r="A121" i="2"/>
  <c r="B156" i="8" s="1"/>
  <c r="B181" i="8" l="1"/>
  <c r="C127" i="5"/>
  <c r="D428" i="5" l="1"/>
  <c r="A127" i="5" s="1"/>
  <c r="B428" i="5"/>
  <c r="C145" i="4"/>
  <c r="D431" i="4"/>
  <c r="A145" i="4" s="1"/>
  <c r="A79" i="4" s="1"/>
  <c r="B431" i="4"/>
  <c r="E127" i="5" l="1"/>
  <c r="C71" i="5" s="1"/>
  <c r="A71" i="5"/>
  <c r="E145" i="4"/>
  <c r="C79" i="4" s="1"/>
  <c r="C115" i="3"/>
  <c r="D403" i="3"/>
  <c r="A115" i="3" s="1"/>
  <c r="B403" i="3"/>
  <c r="C118" i="1"/>
  <c r="D371" i="1"/>
  <c r="A118" i="1" s="1"/>
  <c r="E118" i="1" s="1"/>
  <c r="C65" i="1" s="1"/>
  <c r="A65" i="3" l="1"/>
  <c r="E115" i="3"/>
  <c r="C65" i="3" s="1"/>
  <c r="A65" i="1"/>
  <c r="B371" i="1"/>
  <c r="A126" i="2"/>
  <c r="A127" i="2"/>
  <c r="A128" i="2"/>
  <c r="A35" i="3" l="1"/>
  <c r="A36" i="10"/>
  <c r="A40" i="4"/>
  <c r="A37" i="5"/>
  <c r="A36" i="1"/>
  <c r="J102" i="4" l="1"/>
  <c r="D426" i="5" l="1"/>
  <c r="A121" i="5" s="1"/>
  <c r="D425" i="5"/>
  <c r="A120" i="5" s="1"/>
  <c r="B424" i="5"/>
  <c r="B423" i="5"/>
  <c r="B422" i="5"/>
  <c r="B421" i="5"/>
  <c r="B420" i="5"/>
  <c r="B419" i="5"/>
  <c r="B418" i="5"/>
  <c r="B417" i="5"/>
  <c r="B416" i="5"/>
  <c r="B415" i="5"/>
  <c r="B414" i="5"/>
  <c r="B413" i="5"/>
  <c r="D429" i="4"/>
  <c r="A141" i="4" s="1"/>
  <c r="D428" i="4"/>
  <c r="A140" i="4" s="1"/>
  <c r="B427" i="4"/>
  <c r="B426" i="4"/>
  <c r="B425" i="4"/>
  <c r="B424" i="4"/>
  <c r="B423" i="4"/>
  <c r="B422" i="4"/>
  <c r="B421" i="4"/>
  <c r="B420" i="4"/>
  <c r="B419" i="4"/>
  <c r="B418" i="4"/>
  <c r="B417" i="4"/>
  <c r="B416" i="4"/>
  <c r="D401" i="3"/>
  <c r="A109" i="3" s="1"/>
  <c r="B400" i="3"/>
  <c r="B399" i="3"/>
  <c r="B398" i="3"/>
  <c r="B397" i="3"/>
  <c r="B396" i="3"/>
  <c r="B395" i="3"/>
  <c r="B394" i="3"/>
  <c r="B393" i="3"/>
  <c r="B392" i="3"/>
  <c r="B391" i="3"/>
  <c r="B390" i="3"/>
  <c r="B389" i="3"/>
  <c r="A100" i="2"/>
  <c r="C378" i="10" s="1"/>
  <c r="A93" i="2"/>
  <c r="D362" i="1"/>
  <c r="A116" i="1" s="1"/>
  <c r="B351" i="1"/>
  <c r="B352" i="1"/>
  <c r="B353" i="1"/>
  <c r="B354" i="1"/>
  <c r="B355" i="1"/>
  <c r="B356" i="1"/>
  <c r="B357" i="1"/>
  <c r="B358" i="1"/>
  <c r="B359" i="1"/>
  <c r="B360" i="1"/>
  <c r="B361" i="1"/>
  <c r="B350" i="1"/>
  <c r="C371" i="10" l="1"/>
  <c r="F84" i="10"/>
  <c r="F76" i="3"/>
  <c r="F82" i="5"/>
  <c r="F95" i="4"/>
  <c r="C354" i="1"/>
  <c r="F81" i="1"/>
  <c r="C361" i="1"/>
  <c r="C427" i="4"/>
  <c r="C424" i="5"/>
  <c r="C417" i="5"/>
  <c r="C420" i="4"/>
  <c r="C400" i="3"/>
  <c r="C393" i="3"/>
  <c r="D117" i="5"/>
  <c r="B296" i="5"/>
  <c r="B295" i="5"/>
  <c r="D107" i="3"/>
  <c r="B280" i="3"/>
  <c r="B279" i="3"/>
  <c r="D131" i="4"/>
  <c r="B290" i="4"/>
  <c r="B289" i="4"/>
  <c r="D113" i="1"/>
  <c r="B243" i="1" l="1"/>
  <c r="B244" i="1"/>
  <c r="A112" i="2"/>
  <c r="A113" i="2"/>
  <c r="C248" i="10" s="1"/>
  <c r="C302" i="4" l="1"/>
  <c r="C249" i="10"/>
  <c r="C279" i="3"/>
  <c r="C301" i="4"/>
  <c r="C296" i="5"/>
  <c r="C280" i="3"/>
  <c r="C243" i="1"/>
  <c r="C289" i="4"/>
  <c r="C244" i="1"/>
  <c r="C290" i="4"/>
  <c r="C115" i="1"/>
  <c r="C364" i="1"/>
  <c r="C365" i="1" s="1"/>
  <c r="D365" i="1" s="1"/>
  <c r="C368" i="1" l="1"/>
  <c r="D368" i="1" s="1"/>
  <c r="C367" i="1"/>
  <c r="D367" i="1" s="1"/>
  <c r="C366" i="1"/>
  <c r="D366" i="1" s="1"/>
  <c r="D369" i="1" l="1"/>
  <c r="I115" i="1" s="1"/>
  <c r="E115" i="1"/>
  <c r="I315" i="4" l="1"/>
  <c r="D315" i="4"/>
  <c r="D257" i="1"/>
  <c r="D104" i="4"/>
  <c r="D90" i="1"/>
  <c r="I347" i="4" l="1"/>
  <c r="I348" i="4"/>
  <c r="I349" i="4"/>
  <c r="D347" i="4"/>
  <c r="D349" i="4"/>
  <c r="D348" i="4"/>
  <c r="D291" i="1"/>
  <c r="D290" i="1"/>
  <c r="D289" i="1"/>
  <c r="I340" i="4"/>
  <c r="I374" i="4"/>
  <c r="D374" i="4"/>
  <c r="D340" i="4"/>
  <c r="D383" i="4"/>
  <c r="D316" i="1"/>
  <c r="D325" i="1"/>
  <c r="D282" i="1"/>
  <c r="A9" i="2"/>
  <c r="C81" i="10" s="1"/>
  <c r="A10" i="2"/>
  <c r="C82" i="10" s="1"/>
  <c r="A11" i="2"/>
  <c r="A13" i="2"/>
  <c r="A14" i="2"/>
  <c r="A15" i="2"/>
  <c r="A16" i="2"/>
  <c r="A3" i="10" s="1"/>
  <c r="A17" i="2"/>
  <c r="A4" i="10" s="1"/>
  <c r="A18" i="2"/>
  <c r="A5" i="10" s="1"/>
  <c r="A20" i="2"/>
  <c r="A7" i="10" s="1"/>
  <c r="A21" i="2"/>
  <c r="A8" i="10" s="1"/>
  <c r="A22" i="2"/>
  <c r="A9" i="10" s="1"/>
  <c r="A23" i="2"/>
  <c r="A10" i="10" s="1"/>
  <c r="A24" i="2"/>
  <c r="A11" i="10" s="1"/>
  <c r="A25" i="2"/>
  <c r="A26" i="2"/>
  <c r="B7" i="10" s="1"/>
  <c r="A27" i="2"/>
  <c r="B8" i="10" s="1"/>
  <c r="A28" i="2"/>
  <c r="B9" i="10" s="1"/>
  <c r="A29" i="2"/>
  <c r="B10" i="10" s="1"/>
  <c r="A30" i="2"/>
  <c r="B11" i="10" s="1"/>
  <c r="A31" i="2"/>
  <c r="C4" i="10" s="1"/>
  <c r="A32" i="2"/>
  <c r="D1" i="10" s="1"/>
  <c r="A33" i="2"/>
  <c r="A12" i="10" s="1"/>
  <c r="A34" i="2"/>
  <c r="B12" i="10" s="1"/>
  <c r="A35" i="2"/>
  <c r="C12" i="10" s="1"/>
  <c r="A36" i="2"/>
  <c r="A13" i="10" s="1"/>
  <c r="A37" i="2"/>
  <c r="A14" i="10" s="1"/>
  <c r="A38" i="2"/>
  <c r="A15" i="10" s="1"/>
  <c r="A39" i="2"/>
  <c r="A17" i="10"/>
  <c r="A42" i="2"/>
  <c r="B18" i="10" s="1"/>
  <c r="A43" i="2"/>
  <c r="F95" i="10" s="1"/>
  <c r="C17" i="10" s="1"/>
  <c r="A96" i="10" s="1"/>
  <c r="A44" i="2"/>
  <c r="A45" i="2"/>
  <c r="A20" i="10" s="1"/>
  <c r="A47" i="2"/>
  <c r="C20" i="10" s="1"/>
  <c r="A48" i="2"/>
  <c r="A23" i="10" s="1"/>
  <c r="A49" i="2"/>
  <c r="A50" i="2"/>
  <c r="A27" i="10" s="1"/>
  <c r="A51" i="2"/>
  <c r="C27" i="10" s="1"/>
  <c r="A52" i="2"/>
  <c r="A53" i="2"/>
  <c r="M92" i="10" s="1"/>
  <c r="A55" i="2"/>
  <c r="A56" i="2"/>
  <c r="M90" i="10" s="1"/>
  <c r="A57" i="2"/>
  <c r="A33" i="10" s="1"/>
  <c r="A58" i="2"/>
  <c r="A60" i="2"/>
  <c r="A61" i="2"/>
  <c r="A62" i="2"/>
  <c r="A63" i="2"/>
  <c r="A39" i="10" s="1"/>
  <c r="A64" i="2"/>
  <c r="A65" i="2"/>
  <c r="C204" i="10" s="1"/>
  <c r="A66" i="2"/>
  <c r="A67" i="2"/>
  <c r="A68" i="2"/>
  <c r="D40" i="10" s="1"/>
  <c r="A69" i="2"/>
  <c r="B75" i="10" s="1"/>
  <c r="A70" i="2"/>
  <c r="B76" i="10" s="1"/>
  <c r="A71" i="2"/>
  <c r="A72" i="2"/>
  <c r="A73" i="2"/>
  <c r="A74" i="2"/>
  <c r="A75" i="2"/>
  <c r="A76" i="2"/>
  <c r="A77" i="2"/>
  <c r="A78" i="2"/>
  <c r="A79" i="2"/>
  <c r="A80" i="2"/>
  <c r="D80" i="10" s="1"/>
  <c r="A82" i="2"/>
  <c r="D82" i="10" s="1"/>
  <c r="A83" i="2"/>
  <c r="D83" i="10" s="1"/>
  <c r="A84" i="2"/>
  <c r="A85" i="2"/>
  <c r="A86" i="2"/>
  <c r="A87" i="2"/>
  <c r="D88" i="10" s="1"/>
  <c r="A88" i="2"/>
  <c r="D89" i="10" s="1"/>
  <c r="A89" i="2"/>
  <c r="A90" i="2"/>
  <c r="A91" i="2"/>
  <c r="A92" i="2"/>
  <c r="A94" i="2"/>
  <c r="A95" i="2"/>
  <c r="A96" i="2"/>
  <c r="A97" i="2"/>
  <c r="A98" i="2"/>
  <c r="A99" i="2"/>
  <c r="A101" i="2"/>
  <c r="A102" i="2"/>
  <c r="A103" i="2"/>
  <c r="H82" i="10" s="1"/>
  <c r="A104" i="2"/>
  <c r="H83" i="10" s="1"/>
  <c r="A105" i="2"/>
  <c r="H84" i="10" s="1"/>
  <c r="A106" i="2"/>
  <c r="H85" i="10" s="1"/>
  <c r="A107" i="2"/>
  <c r="H86" i="10" s="1"/>
  <c r="A108" i="2"/>
  <c r="B145" i="10" s="1"/>
  <c r="A109" i="2"/>
  <c r="B146" i="10" s="1"/>
  <c r="A110" i="2"/>
  <c r="A111" i="2"/>
  <c r="A114" i="2"/>
  <c r="A115" i="2"/>
  <c r="A116" i="2"/>
  <c r="A117" i="2"/>
  <c r="A118" i="2"/>
  <c r="A119" i="2"/>
  <c r="A120" i="2"/>
  <c r="B180" i="8" s="1"/>
  <c r="A122" i="2"/>
  <c r="B133" i="8" s="1"/>
  <c r="A124" i="2"/>
  <c r="A8" i="2"/>
  <c r="C40" i="10" l="1"/>
  <c r="C67" i="8"/>
  <c r="C80" i="8"/>
  <c r="B40" i="10"/>
  <c r="B67" i="8"/>
  <c r="B80" i="8"/>
  <c r="M89" i="10"/>
  <c r="C426" i="4"/>
  <c r="C377" i="10"/>
  <c r="F90" i="10"/>
  <c r="C422" i="4"/>
  <c r="C373" i="10"/>
  <c r="F86" i="10"/>
  <c r="F81" i="10"/>
  <c r="C368" i="10"/>
  <c r="B6" i="4"/>
  <c r="B6" i="1"/>
  <c r="B6" i="10"/>
  <c r="B5" i="10"/>
  <c r="C425" i="4"/>
  <c r="C376" i="10"/>
  <c r="F89" i="10"/>
  <c r="C421" i="4"/>
  <c r="F85" i="10"/>
  <c r="C372" i="10"/>
  <c r="C367" i="10"/>
  <c r="F80" i="10"/>
  <c r="F99" i="10"/>
  <c r="E43" i="10" s="1"/>
  <c r="C298" i="4"/>
  <c r="C203" i="10"/>
  <c r="B87" i="10" s="1"/>
  <c r="B39" i="10" s="1"/>
  <c r="C303" i="4"/>
  <c r="C250" i="10"/>
  <c r="C295" i="5"/>
  <c r="H81" i="10"/>
  <c r="C424" i="4"/>
  <c r="F88" i="10"/>
  <c r="C375" i="10"/>
  <c r="F83" i="10"/>
  <c r="C370" i="10"/>
  <c r="C304" i="4"/>
  <c r="C251" i="10"/>
  <c r="C80" i="10"/>
  <c r="C366" i="10"/>
  <c r="H80" i="10"/>
  <c r="C423" i="4"/>
  <c r="C374" i="10"/>
  <c r="F87" i="10"/>
  <c r="C369" i="10"/>
  <c r="F82" i="10"/>
  <c r="B178" i="8"/>
  <c r="C418" i="5"/>
  <c r="C415" i="4"/>
  <c r="C412" i="5"/>
  <c r="C420" i="5"/>
  <c r="C418" i="4"/>
  <c r="C415" i="5"/>
  <c r="C417" i="4"/>
  <c r="C414" i="5"/>
  <c r="C419" i="5"/>
  <c r="C416" i="4"/>
  <c r="C413" i="5"/>
  <c r="C423" i="5"/>
  <c r="C422" i="5"/>
  <c r="C421" i="5"/>
  <c r="C419" i="4"/>
  <c r="C416" i="5"/>
  <c r="C359" i="1"/>
  <c r="C398" i="3"/>
  <c r="C349" i="1"/>
  <c r="C388" i="3"/>
  <c r="C357" i="1"/>
  <c r="C396" i="3"/>
  <c r="C352" i="1"/>
  <c r="C391" i="3"/>
  <c r="C360" i="1"/>
  <c r="C399" i="3"/>
  <c r="C356" i="1"/>
  <c r="C395" i="3"/>
  <c r="C351" i="1"/>
  <c r="C390" i="3"/>
  <c r="C355" i="1"/>
  <c r="C394" i="3"/>
  <c r="C350" i="1"/>
  <c r="C389" i="3"/>
  <c r="C358" i="1"/>
  <c r="C397" i="3"/>
  <c r="C353" i="1"/>
  <c r="C392" i="3"/>
  <c r="M87" i="1"/>
  <c r="H104" i="4"/>
  <c r="A129" i="4" l="1"/>
  <c r="C112" i="1"/>
  <c r="A112" i="1"/>
  <c r="C111" i="1"/>
  <c r="A111" i="1"/>
  <c r="E130" i="4" l="1"/>
  <c r="C66" i="4" s="1"/>
  <c r="A66" i="4"/>
  <c r="E112" i="1"/>
  <c r="C60" i="1" s="1"/>
  <c r="A60" i="1"/>
  <c r="C180" i="8"/>
  <c r="C169" i="8"/>
  <c r="J80" i="3" l="1"/>
  <c r="B135" i="8" l="1"/>
  <c r="B4" i="6"/>
  <c r="B155" i="8" l="1"/>
  <c r="B4" i="7"/>
  <c r="E64" i="5"/>
  <c r="A19" i="4"/>
  <c r="A18" i="5" l="1"/>
  <c r="E75" i="4"/>
  <c r="E45" i="4" l="1"/>
  <c r="E40" i="5"/>
  <c r="E77" i="4"/>
  <c r="E65" i="5"/>
  <c r="E44" i="4"/>
  <c r="E39" i="5"/>
  <c r="C297" i="5"/>
  <c r="C298" i="5"/>
  <c r="C246" i="1" l="1"/>
  <c r="C292" i="4"/>
  <c r="C245" i="1"/>
  <c r="C291" i="4"/>
  <c r="C281" i="3"/>
  <c r="C282" i="3"/>
  <c r="N83" i="5"/>
  <c r="A24" i="5"/>
  <c r="C24" i="5"/>
  <c r="N78" i="5" l="1"/>
  <c r="H78" i="5"/>
  <c r="F98" i="4"/>
  <c r="F85" i="5"/>
  <c r="F93" i="4"/>
  <c r="F80" i="5"/>
  <c r="J86" i="5"/>
  <c r="D86" i="5"/>
  <c r="D80" i="5"/>
  <c r="J80" i="5"/>
  <c r="B166" i="4"/>
  <c r="B194" i="5"/>
  <c r="N81" i="5"/>
  <c r="H81" i="5"/>
  <c r="F101" i="4"/>
  <c r="F88" i="5"/>
  <c r="F97" i="4"/>
  <c r="F84" i="5"/>
  <c r="F92" i="4"/>
  <c r="F79" i="5"/>
  <c r="D79" i="5"/>
  <c r="J79" i="5"/>
  <c r="N84" i="5"/>
  <c r="H84" i="5"/>
  <c r="N80" i="5"/>
  <c r="H80" i="5"/>
  <c r="F100" i="4"/>
  <c r="F87" i="5"/>
  <c r="H83" i="5"/>
  <c r="F96" i="4"/>
  <c r="F83" i="5"/>
  <c r="F91" i="4"/>
  <c r="F78" i="5"/>
  <c r="J78" i="5"/>
  <c r="D78" i="5"/>
  <c r="N79" i="5"/>
  <c r="H79" i="5"/>
  <c r="F99" i="4"/>
  <c r="F86" i="5"/>
  <c r="F94" i="4"/>
  <c r="F81" i="5"/>
  <c r="J87" i="5"/>
  <c r="D87" i="5"/>
  <c r="B165" i="4"/>
  <c r="B193" i="5"/>
  <c r="N82" i="5"/>
  <c r="H82" i="5"/>
  <c r="A30" i="4"/>
  <c r="E62" i="5"/>
  <c r="A26" i="5"/>
  <c r="C30" i="4"/>
  <c r="E63" i="5"/>
  <c r="C26" i="5"/>
  <c r="N91" i="4"/>
  <c r="H91" i="4"/>
  <c r="D99" i="4"/>
  <c r="J99" i="4"/>
  <c r="J94" i="4"/>
  <c r="D94" i="4"/>
  <c r="N94" i="4"/>
  <c r="H94" i="4"/>
  <c r="D93" i="4"/>
  <c r="J93" i="4"/>
  <c r="N97" i="4"/>
  <c r="H97" i="4"/>
  <c r="N93" i="4"/>
  <c r="H93" i="4"/>
  <c r="J91" i="4"/>
  <c r="D91" i="4"/>
  <c r="N96" i="4"/>
  <c r="H96" i="4"/>
  <c r="N92" i="4"/>
  <c r="H92" i="4"/>
  <c r="J100" i="4"/>
  <c r="D100" i="4"/>
  <c r="N95" i="4"/>
  <c r="H95" i="4"/>
  <c r="F79" i="1"/>
  <c r="F74" i="3"/>
  <c r="D80" i="1"/>
  <c r="D74" i="3"/>
  <c r="F87" i="1"/>
  <c r="F82" i="3"/>
  <c r="F78" i="1"/>
  <c r="F73" i="3"/>
  <c r="H79" i="1"/>
  <c r="H74" i="3"/>
  <c r="F82" i="1"/>
  <c r="F77" i="3"/>
  <c r="H82" i="1"/>
  <c r="H77" i="3"/>
  <c r="H78" i="1"/>
  <c r="H73" i="3"/>
  <c r="F85" i="1"/>
  <c r="F80" i="3"/>
  <c r="F80" i="1"/>
  <c r="F75" i="3"/>
  <c r="D86" i="1"/>
  <c r="D81" i="3"/>
  <c r="H77" i="1"/>
  <c r="H72" i="3"/>
  <c r="H81" i="1"/>
  <c r="H76" i="3"/>
  <c r="F84" i="1"/>
  <c r="F79" i="3"/>
  <c r="D85" i="1"/>
  <c r="D80" i="3"/>
  <c r="H80" i="1"/>
  <c r="H75" i="3"/>
  <c r="F83" i="1"/>
  <c r="F78" i="3"/>
  <c r="D79" i="1"/>
  <c r="D73" i="3"/>
  <c r="H83" i="1"/>
  <c r="H78" i="3"/>
  <c r="F86" i="1"/>
  <c r="F81" i="3"/>
  <c r="F77" i="1"/>
  <c r="F72" i="3"/>
  <c r="D77" i="1"/>
  <c r="D72" i="3"/>
  <c r="B139" i="1"/>
  <c r="B177" i="3"/>
  <c r="B138" i="1"/>
  <c r="B176" i="3"/>
  <c r="C79" i="5"/>
  <c r="C74" i="3"/>
  <c r="A4" i="5"/>
  <c r="A5" i="5"/>
  <c r="A6" i="5"/>
  <c r="A7" i="5"/>
  <c r="A8" i="5"/>
  <c r="A9" i="5"/>
  <c r="A10" i="5"/>
  <c r="B5" i="5"/>
  <c r="B6" i="5"/>
  <c r="B7" i="5"/>
  <c r="B8" i="5"/>
  <c r="B9" i="5"/>
  <c r="B10" i="5"/>
  <c r="C4" i="5"/>
  <c r="D1" i="8"/>
  <c r="A11" i="5"/>
  <c r="B11" i="5"/>
  <c r="C11" i="5"/>
  <c r="A12" i="5"/>
  <c r="A13" i="5"/>
  <c r="A14" i="5"/>
  <c r="A15" i="5"/>
  <c r="A16" i="5"/>
  <c r="A19" i="3"/>
  <c r="C20" i="5"/>
  <c r="A26" i="3"/>
  <c r="B27" i="5"/>
  <c r="A37" i="3"/>
  <c r="B73" i="5"/>
  <c r="B74" i="5"/>
  <c r="M89" i="1" l="1"/>
  <c r="M86" i="1" s="1"/>
  <c r="H103" i="4"/>
  <c r="H105" i="4" s="1"/>
  <c r="B132" i="8"/>
  <c r="B113" i="8"/>
  <c r="B90" i="8"/>
  <c r="B40" i="8"/>
  <c r="B102" i="8"/>
  <c r="B52" i="8"/>
  <c r="B27" i="8"/>
  <c r="B161" i="8"/>
  <c r="B154" i="8"/>
  <c r="D38" i="5"/>
  <c r="B160" i="8"/>
  <c r="C161" i="8"/>
  <c r="C154" i="8"/>
  <c r="C90" i="8"/>
  <c r="C102" i="8"/>
  <c r="C52" i="8"/>
  <c r="C27" i="8"/>
  <c r="C113" i="8"/>
  <c r="C40" i="8"/>
  <c r="C38" i="5"/>
  <c r="C13" i="8"/>
  <c r="B38" i="5"/>
  <c r="B13" i="8"/>
  <c r="A3" i="5"/>
  <c r="A3" i="8"/>
  <c r="D1" i="5"/>
  <c r="D1" i="6"/>
  <c r="C237" i="3"/>
  <c r="C253" i="5"/>
  <c r="C238" i="3"/>
  <c r="C254" i="5"/>
  <c r="C33" i="5"/>
  <c r="A33" i="5"/>
  <c r="A2" i="5"/>
  <c r="A36" i="5"/>
  <c r="A31" i="5"/>
  <c r="C31" i="5"/>
  <c r="B18" i="4"/>
  <c r="B17" i="5"/>
  <c r="C73" i="3"/>
  <c r="C92" i="4"/>
  <c r="C38" i="3"/>
  <c r="C43" i="4"/>
  <c r="D38" i="3"/>
  <c r="D43" i="4"/>
  <c r="B68" i="3"/>
  <c r="B87" i="4"/>
  <c r="B38" i="3"/>
  <c r="B43" i="4"/>
  <c r="B67" i="3"/>
  <c r="B86" i="4"/>
  <c r="A32" i="3"/>
  <c r="A35" i="4"/>
  <c r="C35" i="4"/>
  <c r="A22" i="3"/>
  <c r="A30" i="3"/>
  <c r="C19" i="3"/>
  <c r="C21" i="4"/>
  <c r="C26" i="3"/>
  <c r="B31" i="4"/>
  <c r="A2" i="4"/>
  <c r="A39" i="4"/>
  <c r="A12" i="3"/>
  <c r="A13" i="4"/>
  <c r="B8" i="3"/>
  <c r="B9" i="4"/>
  <c r="A6" i="3"/>
  <c r="A7" i="4"/>
  <c r="A15" i="3"/>
  <c r="A16" i="4"/>
  <c r="C11" i="3"/>
  <c r="C12" i="4"/>
  <c r="C4" i="3"/>
  <c r="C4" i="4"/>
  <c r="B7" i="3"/>
  <c r="B8" i="4"/>
  <c r="A5" i="3"/>
  <c r="A5" i="4"/>
  <c r="A13" i="3"/>
  <c r="A14" i="4"/>
  <c r="A11" i="3"/>
  <c r="A12" i="4"/>
  <c r="B9" i="3"/>
  <c r="B10" i="4"/>
  <c r="B5" i="3"/>
  <c r="B5" i="4"/>
  <c r="A7" i="3"/>
  <c r="A8" i="4"/>
  <c r="A3" i="3"/>
  <c r="A3" i="4"/>
  <c r="A16" i="3"/>
  <c r="A17" i="4"/>
  <c r="A10" i="3"/>
  <c r="A11" i="4"/>
  <c r="A9" i="3"/>
  <c r="A10" i="4"/>
  <c r="A14" i="3"/>
  <c r="A15" i="4"/>
  <c r="B11" i="3"/>
  <c r="B12" i="4"/>
  <c r="B10" i="3"/>
  <c r="B11" i="4"/>
  <c r="B6" i="3"/>
  <c r="B7" i="4"/>
  <c r="A8" i="3"/>
  <c r="A9" i="4"/>
  <c r="A4" i="3"/>
  <c r="A4" i="4"/>
  <c r="D1" i="3"/>
  <c r="D1" i="4"/>
  <c r="C72" i="3"/>
  <c r="A2" i="3"/>
  <c r="A36" i="3"/>
  <c r="B18" i="1"/>
  <c r="B17" i="3"/>
  <c r="C200" i="1" l="1"/>
  <c r="B54" i="2"/>
  <c r="A54" i="2" s="1"/>
  <c r="C78" i="1"/>
  <c r="C79" i="1"/>
  <c r="C77" i="1"/>
  <c r="A3" i="1"/>
  <c r="A4" i="1"/>
  <c r="A5" i="1"/>
  <c r="A7" i="1"/>
  <c r="A8" i="1"/>
  <c r="A9" i="1"/>
  <c r="A10" i="1"/>
  <c r="A11" i="1"/>
  <c r="B5" i="1"/>
  <c r="B7" i="1"/>
  <c r="B8" i="1"/>
  <c r="B9" i="1"/>
  <c r="B10" i="1"/>
  <c r="B11" i="1"/>
  <c r="C4" i="1"/>
  <c r="D1" i="1"/>
  <c r="A12" i="1"/>
  <c r="B12" i="1"/>
  <c r="C12" i="1"/>
  <c r="A13" i="1"/>
  <c r="A14" i="1"/>
  <c r="A15" i="1"/>
  <c r="A16" i="1"/>
  <c r="A17" i="1"/>
  <c r="A20" i="1"/>
  <c r="C20" i="1"/>
  <c r="A23" i="1"/>
  <c r="A27" i="1"/>
  <c r="C27" i="1"/>
  <c r="A33" i="1"/>
  <c r="A39" i="1"/>
  <c r="A40" i="1"/>
  <c r="C199" i="1"/>
  <c r="B41" i="1"/>
  <c r="C41" i="1"/>
  <c r="D41" i="1"/>
  <c r="B72" i="1"/>
  <c r="B73" i="1"/>
  <c r="A2" i="1"/>
  <c r="B171" i="8" l="1"/>
  <c r="B172" i="8"/>
  <c r="B112" i="10"/>
  <c r="B56" i="10" s="1"/>
  <c r="B69" i="8"/>
  <c r="B68" i="8"/>
  <c r="B120" i="10"/>
  <c r="B65" i="10" s="1"/>
  <c r="B174" i="8"/>
  <c r="B173" i="8"/>
  <c r="B113" i="10"/>
  <c r="B57" i="10" s="1"/>
  <c r="B82" i="8"/>
  <c r="B81" i="8"/>
  <c r="B111" i="10"/>
  <c r="B55" i="10" s="1"/>
  <c r="B102" i="10"/>
  <c r="B46" i="10" s="1"/>
  <c r="B353" i="10"/>
  <c r="B332" i="10"/>
  <c r="B311" i="10"/>
  <c r="B229" i="10"/>
  <c r="B355" i="10"/>
  <c r="B333" i="10"/>
  <c r="B312" i="10"/>
  <c r="B291" i="10"/>
  <c r="B251" i="10"/>
  <c r="B217" i="10"/>
  <c r="B184" i="10"/>
  <c r="B305" i="10"/>
  <c r="B243" i="10"/>
  <c r="B183" i="10"/>
  <c r="B207" i="10"/>
  <c r="B313" i="10"/>
  <c r="B178" i="10"/>
  <c r="B331" i="10"/>
  <c r="B288" i="10"/>
  <c r="B250" i="10"/>
  <c r="B199" i="10"/>
  <c r="B351" i="10"/>
  <c r="B308" i="10"/>
  <c r="B239" i="10"/>
  <c r="B150" i="10"/>
  <c r="B347" i="10"/>
  <c r="B304" i="10"/>
  <c r="B193" i="10"/>
  <c r="B324" i="10"/>
  <c r="B192" i="10"/>
  <c r="B130" i="10"/>
  <c r="B73" i="10" s="1"/>
  <c r="B231" i="10"/>
  <c r="B108" i="10"/>
  <c r="B52" i="10" s="1"/>
  <c r="B294" i="10"/>
  <c r="B124" i="10"/>
  <c r="B67" i="10" s="1"/>
  <c r="B109" i="10"/>
  <c r="B53" i="10" s="1"/>
  <c r="B282" i="10"/>
  <c r="B346" i="10"/>
  <c r="B116" i="10"/>
  <c r="B60" i="10" s="1"/>
  <c r="B266" i="10"/>
  <c r="B350" i="10"/>
  <c r="B290" i="10"/>
  <c r="B97" i="10"/>
  <c r="B41" i="10" s="1"/>
  <c r="B348" i="10"/>
  <c r="B327" i="10"/>
  <c r="B300" i="10"/>
  <c r="B194" i="10"/>
  <c r="B349" i="10"/>
  <c r="B328" i="10"/>
  <c r="B307" i="10"/>
  <c r="B285" i="10"/>
  <c r="B244" i="10"/>
  <c r="B211" i="10"/>
  <c r="B176" i="10"/>
  <c r="B289" i="10"/>
  <c r="B216" i="10"/>
  <c r="B179" i="10"/>
  <c r="B292" i="10"/>
  <c r="B206" i="10"/>
  <c r="B320" i="10"/>
  <c r="B277" i="10"/>
  <c r="B245" i="10"/>
  <c r="B186" i="10"/>
  <c r="B340" i="10"/>
  <c r="B297" i="10"/>
  <c r="B212" i="10"/>
  <c r="B106" i="10"/>
  <c r="B50" i="10" s="1"/>
  <c r="B336" i="10"/>
  <c r="B293" i="10"/>
  <c r="B107" i="10"/>
  <c r="B51" i="10" s="1"/>
  <c r="B303" i="10"/>
  <c r="B306" i="10"/>
  <c r="B115" i="10"/>
  <c r="B59" i="10" s="1"/>
  <c r="B271" i="10"/>
  <c r="B214" i="10"/>
  <c r="B310" i="10"/>
  <c r="B129" i="10"/>
  <c r="B72" i="10" s="1"/>
  <c r="B118" i="10"/>
  <c r="B62" i="10" s="1"/>
  <c r="B298" i="10"/>
  <c r="B119" i="10"/>
  <c r="B63" i="10" s="1"/>
  <c r="B105" i="10"/>
  <c r="B49" i="10" s="1"/>
  <c r="B286" i="10"/>
  <c r="B127" i="10"/>
  <c r="B70" i="10" s="1"/>
  <c r="B126" i="10"/>
  <c r="B69" i="10" s="1"/>
  <c r="B121" i="10"/>
  <c r="B64" i="10" s="1"/>
  <c r="B99" i="10"/>
  <c r="B43" i="10" s="1"/>
  <c r="B343" i="10"/>
  <c r="B321" i="10"/>
  <c r="B295" i="10"/>
  <c r="B152" i="10"/>
  <c r="B344" i="10"/>
  <c r="B323" i="10"/>
  <c r="B301" i="10"/>
  <c r="B280" i="10"/>
  <c r="B236" i="10"/>
  <c r="B195" i="10"/>
  <c r="B149" i="10"/>
  <c r="B279" i="10"/>
  <c r="B208" i="10"/>
  <c r="B104" i="10"/>
  <c r="B48" i="10" s="1"/>
  <c r="B360" i="10"/>
  <c r="B269" i="10"/>
  <c r="B352" i="10"/>
  <c r="B309" i="10"/>
  <c r="B272" i="10"/>
  <c r="B225" i="10"/>
  <c r="B151" i="10"/>
  <c r="B329" i="10"/>
  <c r="B287" i="10"/>
  <c r="B198" i="10"/>
  <c r="B361" i="10"/>
  <c r="B325" i="10"/>
  <c r="B238" i="10"/>
  <c r="B356" i="10"/>
  <c r="B281" i="10"/>
  <c r="B302" i="10"/>
  <c r="B362" i="10"/>
  <c r="B338" i="10"/>
  <c r="B241" i="10"/>
  <c r="B326" i="10"/>
  <c r="B103" i="10"/>
  <c r="B47" i="10" s="1"/>
  <c r="B219" i="10"/>
  <c r="B314" i="10"/>
  <c r="B128" i="10"/>
  <c r="B71" i="10" s="1"/>
  <c r="B318" i="10"/>
  <c r="B125" i="10"/>
  <c r="B68" i="10" s="1"/>
  <c r="B114" i="10"/>
  <c r="B58" i="10" s="1"/>
  <c r="B101" i="10"/>
  <c r="B45" i="10" s="1"/>
  <c r="B363" i="10"/>
  <c r="B337" i="10"/>
  <c r="B316" i="10"/>
  <c r="B284" i="10"/>
  <c r="B364" i="10"/>
  <c r="B339" i="10"/>
  <c r="B317" i="10"/>
  <c r="B296" i="10"/>
  <c r="B275" i="10"/>
  <c r="B223" i="10"/>
  <c r="B188" i="10"/>
  <c r="B122" i="10"/>
  <c r="B265" i="10"/>
  <c r="B187" i="10"/>
  <c r="B283" i="10"/>
  <c r="B335" i="10"/>
  <c r="B218" i="10"/>
  <c r="B341" i="10"/>
  <c r="B299" i="10"/>
  <c r="B268" i="10"/>
  <c r="B213" i="10"/>
  <c r="B365" i="10"/>
  <c r="B319" i="10"/>
  <c r="B276" i="10"/>
  <c r="B185" i="10"/>
  <c r="B359" i="10"/>
  <c r="B315" i="10"/>
  <c r="B221" i="10"/>
  <c r="B345" i="10"/>
  <c r="B228" i="10"/>
  <c r="B322" i="10"/>
  <c r="B209" i="10"/>
  <c r="B354" i="10"/>
  <c r="B278" i="10"/>
  <c r="B342" i="10"/>
  <c r="B117" i="10"/>
  <c r="B61" i="10" s="1"/>
  <c r="B246" i="10"/>
  <c r="B330" i="10"/>
  <c r="B110" i="10"/>
  <c r="B54" i="10" s="1"/>
  <c r="B224" i="10"/>
  <c r="B334" i="10"/>
  <c r="B123" i="10"/>
  <c r="B66" i="10" s="1"/>
  <c r="B98" i="10"/>
  <c r="B42" i="10" s="1"/>
  <c r="B100" i="10"/>
  <c r="B44" i="10" s="1"/>
  <c r="B119" i="1"/>
  <c r="B66" i="1" s="1"/>
  <c r="B137" i="4"/>
  <c r="B73" i="4" s="1"/>
  <c r="B349" i="4"/>
  <c r="B144" i="4"/>
  <c r="B80" i="4" s="1"/>
  <c r="B347" i="4"/>
  <c r="B348" i="4"/>
  <c r="B291" i="1"/>
  <c r="B290" i="1"/>
  <c r="B289" i="1"/>
  <c r="B136" i="4"/>
  <c r="B72" i="4" s="1"/>
  <c r="B165" i="8"/>
  <c r="B56" i="8"/>
  <c r="B170" i="8"/>
  <c r="B163" i="8"/>
  <c r="B29" i="8"/>
  <c r="B15" i="8"/>
  <c r="B134" i="4"/>
  <c r="B70" i="4" s="1"/>
  <c r="B132" i="4"/>
  <c r="B68" i="4" s="1"/>
  <c r="B135" i="4"/>
  <c r="B71" i="4" s="1"/>
  <c r="B133" i="4"/>
  <c r="B69" i="4" s="1"/>
  <c r="B358" i="5"/>
  <c r="B369" i="5"/>
  <c r="B340" i="4"/>
  <c r="B378" i="5"/>
  <c r="B374" i="4"/>
  <c r="B387" i="5"/>
  <c r="B383" i="4"/>
  <c r="B325" i="5"/>
  <c r="B314" i="5"/>
  <c r="B347" i="5"/>
  <c r="B336" i="5"/>
  <c r="B309" i="3"/>
  <c r="B371" i="3"/>
  <c r="B320" i="3"/>
  <c r="B331" i="3"/>
  <c r="B342" i="3"/>
  <c r="B298" i="3"/>
  <c r="B362" i="3"/>
  <c r="B353" i="3"/>
  <c r="B282" i="1"/>
  <c r="B316" i="1"/>
  <c r="B325" i="1"/>
  <c r="B145" i="4"/>
  <c r="B79" i="4" s="1"/>
  <c r="B127" i="5"/>
  <c r="B71" i="5" s="1"/>
  <c r="B118" i="1"/>
  <c r="B65" i="1" s="1"/>
  <c r="B115" i="3"/>
  <c r="B65" i="3" s="1"/>
  <c r="B115" i="1"/>
  <c r="B114" i="8"/>
  <c r="B91" i="8"/>
  <c r="B164" i="8"/>
  <c r="B167" i="8"/>
  <c r="B177" i="8"/>
  <c r="B166" i="8"/>
  <c r="B14" i="8"/>
  <c r="B54" i="8"/>
  <c r="B41" i="8"/>
  <c r="B169" i="8"/>
  <c r="B176" i="8"/>
  <c r="B53" i="8"/>
  <c r="B168" i="8"/>
  <c r="B103" i="8"/>
  <c r="B28" i="8"/>
  <c r="B162" i="8"/>
  <c r="B175" i="8"/>
  <c r="B55" i="8"/>
  <c r="B111" i="1"/>
  <c r="B130" i="4"/>
  <c r="B66" i="4" s="1"/>
  <c r="B129" i="4"/>
  <c r="B112" i="1"/>
  <c r="B60" i="1" s="1"/>
  <c r="B286" i="4"/>
  <c r="B287" i="4"/>
  <c r="B240" i="1"/>
  <c r="B241" i="1"/>
  <c r="B410" i="5"/>
  <c r="B386" i="3"/>
  <c r="B348" i="1"/>
  <c r="B177" i="10" l="1"/>
  <c r="A104" i="3"/>
  <c r="B104" i="3" s="1"/>
  <c r="A99" i="3"/>
  <c r="B99" i="3" s="1"/>
  <c r="A98" i="3"/>
  <c r="B98" i="3" s="1"/>
  <c r="A97" i="3"/>
  <c r="B97" i="3" s="1"/>
  <c r="A142" i="4" l="1"/>
  <c r="B142" i="4" s="1"/>
  <c r="C177" i="8" l="1"/>
  <c r="I88" i="1" l="1"/>
  <c r="B79" i="3"/>
  <c r="B37" i="3" s="1"/>
  <c r="B84" i="1"/>
  <c r="B40" i="1" s="1"/>
  <c r="C178" i="8"/>
  <c r="C176" i="8"/>
  <c r="C175" i="8"/>
  <c r="C168" i="8"/>
  <c r="C167" i="8"/>
  <c r="C166" i="8"/>
  <c r="C164" i="8"/>
  <c r="C162" i="8"/>
  <c r="A114" i="5" l="1"/>
  <c r="B114" i="5" s="1"/>
  <c r="C121" i="1" l="1"/>
  <c r="C120" i="1"/>
  <c r="C147" i="4"/>
  <c r="C146" i="4"/>
  <c r="C124" i="5"/>
  <c r="C123" i="5"/>
  <c r="A123" i="5"/>
  <c r="B123" i="5" s="1"/>
  <c r="A116" i="5"/>
  <c r="B116" i="5" s="1"/>
  <c r="A115" i="5"/>
  <c r="B115" i="5" s="1"/>
  <c r="A112" i="5"/>
  <c r="B112" i="5" s="1"/>
  <c r="A111" i="5"/>
  <c r="B111" i="5" s="1"/>
  <c r="A110" i="5"/>
  <c r="B110" i="5" s="1"/>
  <c r="A109" i="5"/>
  <c r="B109" i="5" s="1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A102" i="5"/>
  <c r="B102" i="5" s="1"/>
  <c r="C403" i="5"/>
  <c r="C396" i="5"/>
  <c r="I309" i="5"/>
  <c r="H309" i="5"/>
  <c r="E309" i="5"/>
  <c r="D309" i="5"/>
  <c r="C309" i="5"/>
  <c r="A307" i="5"/>
  <c r="A306" i="5"/>
  <c r="A301" i="5"/>
  <c r="A300" i="5"/>
  <c r="J194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C119" i="5"/>
  <c r="C118" i="5"/>
  <c r="A117" i="5"/>
  <c r="B117" i="5" s="1"/>
  <c r="C116" i="5"/>
  <c r="C115" i="5"/>
  <c r="C110" i="5"/>
  <c r="C103" i="5"/>
  <c r="C102" i="5"/>
  <c r="E92" i="5"/>
  <c r="D71" i="5" s="1"/>
  <c r="D91" i="5"/>
  <c r="D93" i="5" s="1"/>
  <c r="D36" i="5" s="1"/>
  <c r="C91" i="5"/>
  <c r="C93" i="5" s="1"/>
  <c r="H358" i="5" l="1"/>
  <c r="H325" i="5"/>
  <c r="H369" i="5"/>
  <c r="H336" i="5"/>
  <c r="H347" i="5"/>
  <c r="H314" i="5"/>
  <c r="C370" i="5"/>
  <c r="C314" i="5"/>
  <c r="C336" i="5"/>
  <c r="C387" i="5"/>
  <c r="C325" i="5"/>
  <c r="C369" i="5"/>
  <c r="C347" i="5"/>
  <c r="C358" i="5"/>
  <c r="C378" i="5"/>
  <c r="I367" i="5"/>
  <c r="I358" i="5"/>
  <c r="I347" i="5"/>
  <c r="I325" i="5"/>
  <c r="I314" i="5"/>
  <c r="I369" i="5"/>
  <c r="I336" i="5"/>
  <c r="D376" i="5"/>
  <c r="D358" i="5"/>
  <c r="D378" i="5"/>
  <c r="D336" i="5"/>
  <c r="D387" i="5"/>
  <c r="D347" i="5"/>
  <c r="D325" i="5"/>
  <c r="D314" i="5"/>
  <c r="D369" i="5"/>
  <c r="E368" i="5"/>
  <c r="E390" i="5"/>
  <c r="E362" i="5"/>
  <c r="E358" i="5"/>
  <c r="E350" i="5"/>
  <c r="E328" i="5"/>
  <c r="E320" i="5"/>
  <c r="E316" i="5"/>
  <c r="E384" i="5"/>
  <c r="E380" i="5"/>
  <c r="E372" i="5"/>
  <c r="E342" i="5"/>
  <c r="E338" i="5"/>
  <c r="E393" i="5"/>
  <c r="E389" i="5"/>
  <c r="E361" i="5"/>
  <c r="E353" i="5"/>
  <c r="E349" i="5"/>
  <c r="E331" i="5"/>
  <c r="E327" i="5"/>
  <c r="E319" i="5"/>
  <c r="E315" i="5"/>
  <c r="E383" i="5"/>
  <c r="E379" i="5"/>
  <c r="E375" i="5"/>
  <c r="E371" i="5"/>
  <c r="E341" i="5"/>
  <c r="E337" i="5"/>
  <c r="E392" i="5"/>
  <c r="E388" i="5"/>
  <c r="E364" i="5"/>
  <c r="E360" i="5"/>
  <c r="E352" i="5"/>
  <c r="E348" i="5"/>
  <c r="E330" i="5"/>
  <c r="E326" i="5"/>
  <c r="E318" i="5"/>
  <c r="E314" i="5"/>
  <c r="E382" i="5"/>
  <c r="E378" i="5"/>
  <c r="E374" i="5"/>
  <c r="E370" i="5"/>
  <c r="E340" i="5"/>
  <c r="E336" i="5"/>
  <c r="E391" i="5"/>
  <c r="E387" i="5"/>
  <c r="E363" i="5"/>
  <c r="E359" i="5"/>
  <c r="E351" i="5"/>
  <c r="E381" i="5"/>
  <c r="E347" i="5"/>
  <c r="E329" i="5"/>
  <c r="E325" i="5"/>
  <c r="E317" i="5"/>
  <c r="E373" i="5"/>
  <c r="E369" i="5"/>
  <c r="E339" i="5"/>
  <c r="A67" i="5"/>
  <c r="F93" i="5"/>
  <c r="C16" i="5" s="1"/>
  <c r="D113" i="5"/>
  <c r="A113" i="5" s="1"/>
  <c r="B113" i="5" s="1"/>
  <c r="D403" i="5"/>
  <c r="B121" i="5" s="1"/>
  <c r="D396" i="5"/>
  <c r="B120" i="5" s="1"/>
  <c r="C126" i="5"/>
  <c r="D37" i="5"/>
  <c r="D310" i="5"/>
  <c r="D326" i="5"/>
  <c r="D332" i="5"/>
  <c r="D319" i="5"/>
  <c r="D349" i="5"/>
  <c r="D317" i="5"/>
  <c r="D338" i="5"/>
  <c r="D328" i="5"/>
  <c r="D312" i="5"/>
  <c r="D316" i="5"/>
  <c r="D321" i="5"/>
  <c r="D324" i="5"/>
  <c r="D330" i="5"/>
  <c r="D340" i="5"/>
  <c r="C125" i="5"/>
  <c r="D311" i="5"/>
  <c r="I318" i="5"/>
  <c r="D320" i="5"/>
  <c r="E324" i="5"/>
  <c r="D333" i="5"/>
  <c r="E334" i="5"/>
  <c r="D337" i="5"/>
  <c r="D339" i="5"/>
  <c r="D353" i="5"/>
  <c r="D360" i="5"/>
  <c r="D315" i="5"/>
  <c r="I316" i="5"/>
  <c r="I317" i="5"/>
  <c r="D323" i="5"/>
  <c r="D329" i="5"/>
  <c r="E333" i="5"/>
  <c r="D345" i="5"/>
  <c r="D351" i="5"/>
  <c r="D367" i="5"/>
  <c r="D371" i="5"/>
  <c r="D393" i="5"/>
  <c r="E335" i="5"/>
  <c r="D359" i="5"/>
  <c r="D383" i="5"/>
  <c r="D386" i="5"/>
  <c r="D334" i="5"/>
  <c r="D344" i="5"/>
  <c r="D346" i="5"/>
  <c r="D362" i="5"/>
  <c r="C146" i="5"/>
  <c r="C161" i="5"/>
  <c r="C131" i="5"/>
  <c r="C170" i="5"/>
  <c r="C139" i="5"/>
  <c r="C154" i="5"/>
  <c r="A125" i="5"/>
  <c r="B125" i="5" s="1"/>
  <c r="A126" i="5"/>
  <c r="B126" i="5" s="1"/>
  <c r="A124" i="5"/>
  <c r="B124" i="5" s="1"/>
  <c r="C311" i="5"/>
  <c r="C318" i="5"/>
  <c r="C319" i="5"/>
  <c r="C329" i="5"/>
  <c r="C341" i="5"/>
  <c r="C310" i="5"/>
  <c r="C320" i="5"/>
  <c r="A61" i="5"/>
  <c r="A54" i="5"/>
  <c r="A56" i="5"/>
  <c r="C15" i="5"/>
  <c r="D15" i="5" s="1"/>
  <c r="A49" i="5"/>
  <c r="A53" i="5"/>
  <c r="A59" i="5"/>
  <c r="A48" i="5"/>
  <c r="A60" i="5"/>
  <c r="A52" i="5"/>
  <c r="E110" i="5"/>
  <c r="C54" i="5" s="1"/>
  <c r="D54" i="5" s="1"/>
  <c r="E116" i="5"/>
  <c r="C60" i="5" s="1"/>
  <c r="D60" i="5" s="1"/>
  <c r="A50" i="5"/>
  <c r="A58" i="5"/>
  <c r="A51" i="5"/>
  <c r="A55" i="5"/>
  <c r="E103" i="5"/>
  <c r="C47" i="5" s="1"/>
  <c r="D47" i="5" s="1"/>
  <c r="E115" i="5"/>
  <c r="C59" i="5" s="1"/>
  <c r="D59" i="5" s="1"/>
  <c r="A47" i="5"/>
  <c r="C14" i="5"/>
  <c r="D14" i="5" s="1"/>
  <c r="C107" i="5"/>
  <c r="E107" i="5" s="1"/>
  <c r="C51" i="5" s="1"/>
  <c r="D51" i="5" s="1"/>
  <c r="C106" i="5"/>
  <c r="E106" i="5" s="1"/>
  <c r="C50" i="5" s="1"/>
  <c r="D50" i="5" s="1"/>
  <c r="C105" i="5"/>
  <c r="E105" i="5" s="1"/>
  <c r="C49" i="5" s="1"/>
  <c r="D49" i="5" s="1"/>
  <c r="C104" i="5"/>
  <c r="E104" i="5" s="1"/>
  <c r="C48" i="5" s="1"/>
  <c r="D48" i="5" s="1"/>
  <c r="C232" i="5"/>
  <c r="A46" i="5"/>
  <c r="C281" i="5"/>
  <c r="C113" i="5" s="1"/>
  <c r="C196" i="5"/>
  <c r="K194" i="5"/>
  <c r="L194" i="5" s="1"/>
  <c r="M194" i="5" s="1"/>
  <c r="A23" i="5" s="1"/>
  <c r="C228" i="5"/>
  <c r="F228" i="5" s="1"/>
  <c r="G228" i="5" s="1"/>
  <c r="C214" i="5"/>
  <c r="C184" i="5"/>
  <c r="C241" i="5"/>
  <c r="C225" i="5"/>
  <c r="F225" i="5" s="1"/>
  <c r="C202" i="5"/>
  <c r="C226" i="5"/>
  <c r="F226" i="5" s="1"/>
  <c r="G226" i="5" s="1"/>
  <c r="C227" i="5"/>
  <c r="F227" i="5" s="1"/>
  <c r="G227" i="5" s="1"/>
  <c r="E102" i="5"/>
  <c r="C46" i="5" s="1"/>
  <c r="D46" i="5" s="1"/>
  <c r="E123" i="5"/>
  <c r="C67" i="5" s="1"/>
  <c r="H374" i="5"/>
  <c r="H370" i="5"/>
  <c r="H365" i="5"/>
  <c r="H361" i="5"/>
  <c r="H356" i="5"/>
  <c r="H352" i="5"/>
  <c r="H375" i="5"/>
  <c r="H366" i="5"/>
  <c r="H357" i="5"/>
  <c r="H348" i="5"/>
  <c r="H343" i="5"/>
  <c r="H368" i="5"/>
  <c r="H367" i="5"/>
  <c r="H360" i="5"/>
  <c r="H359" i="5"/>
  <c r="H364" i="5"/>
  <c r="H363" i="5"/>
  <c r="H362" i="5"/>
  <c r="H350" i="5"/>
  <c r="H349" i="5"/>
  <c r="H340" i="5"/>
  <c r="H338" i="5"/>
  <c r="H371" i="5"/>
  <c r="H353" i="5"/>
  <c r="H351" i="5"/>
  <c r="H344" i="5"/>
  <c r="H335" i="5"/>
  <c r="H331" i="5"/>
  <c r="H327" i="5"/>
  <c r="H322" i="5"/>
  <c r="H318" i="5"/>
  <c r="H313" i="5"/>
  <c r="H320" i="5"/>
  <c r="E311" i="5"/>
  <c r="E312" i="5"/>
  <c r="E313" i="5"/>
  <c r="C316" i="5"/>
  <c r="H316" i="5"/>
  <c r="H317" i="5"/>
  <c r="E321" i="5"/>
  <c r="E322" i="5"/>
  <c r="C324" i="5"/>
  <c r="H324" i="5"/>
  <c r="H326" i="5"/>
  <c r="C333" i="5"/>
  <c r="H333" i="5"/>
  <c r="H334" i="5"/>
  <c r="I335" i="5"/>
  <c r="H341" i="5"/>
  <c r="H342" i="5"/>
  <c r="H346" i="5"/>
  <c r="H355" i="5"/>
  <c r="E385" i="5"/>
  <c r="E366" i="5"/>
  <c r="E357" i="5"/>
  <c r="E386" i="5"/>
  <c r="E377" i="5"/>
  <c r="E344" i="5"/>
  <c r="E365" i="5"/>
  <c r="E356" i="5"/>
  <c r="E355" i="5"/>
  <c r="E354" i="5"/>
  <c r="E346" i="5"/>
  <c r="E345" i="5"/>
  <c r="E376" i="5"/>
  <c r="E367" i="5"/>
  <c r="E332" i="5"/>
  <c r="E323" i="5"/>
  <c r="E310" i="5"/>
  <c r="J309" i="5"/>
  <c r="H310" i="5"/>
  <c r="H319" i="5"/>
  <c r="I324" i="5"/>
  <c r="I326" i="5"/>
  <c r="C327" i="5"/>
  <c r="I327" i="5"/>
  <c r="C328" i="5"/>
  <c r="H328" i="5"/>
  <c r="I333" i="5"/>
  <c r="I334" i="5"/>
  <c r="C335" i="5"/>
  <c r="H337" i="5"/>
  <c r="C338" i="5"/>
  <c r="I338" i="5"/>
  <c r="H345" i="5"/>
  <c r="H373" i="5"/>
  <c r="H311" i="5"/>
  <c r="H321" i="5"/>
  <c r="H329" i="5"/>
  <c r="H330" i="5"/>
  <c r="H339" i="5"/>
  <c r="H354" i="5"/>
  <c r="H312" i="5"/>
  <c r="C393" i="5"/>
  <c r="C391" i="5"/>
  <c r="C389" i="5"/>
  <c r="C386" i="5"/>
  <c r="C384" i="5"/>
  <c r="C382" i="5"/>
  <c r="C380" i="5"/>
  <c r="C377" i="5"/>
  <c r="C373" i="5"/>
  <c r="C368" i="5"/>
  <c r="C364" i="5"/>
  <c r="C360" i="5"/>
  <c r="C355" i="5"/>
  <c r="C351" i="5"/>
  <c r="C390" i="5"/>
  <c r="C381" i="5"/>
  <c r="C375" i="5"/>
  <c r="C374" i="5"/>
  <c r="C366" i="5"/>
  <c r="C365" i="5"/>
  <c r="C357" i="5"/>
  <c r="C356" i="5"/>
  <c r="C346" i="5"/>
  <c r="C342" i="5"/>
  <c r="C392" i="5"/>
  <c r="C383" i="5"/>
  <c r="C376" i="5"/>
  <c r="C367" i="5"/>
  <c r="C359" i="5"/>
  <c r="C385" i="5"/>
  <c r="C372" i="5"/>
  <c r="C361" i="5"/>
  <c r="C354" i="5"/>
  <c r="C350" i="5"/>
  <c r="C379" i="5"/>
  <c r="C371" i="5"/>
  <c r="C353" i="5"/>
  <c r="C349" i="5"/>
  <c r="C348" i="5"/>
  <c r="C340" i="5"/>
  <c r="C337" i="5"/>
  <c r="C388" i="5"/>
  <c r="C362" i="5"/>
  <c r="F362" i="5" s="1"/>
  <c r="G362" i="5" s="1"/>
  <c r="C352" i="5"/>
  <c r="C344" i="5"/>
  <c r="C343" i="5"/>
  <c r="C339" i="5"/>
  <c r="C334" i="5"/>
  <c r="C330" i="5"/>
  <c r="C326" i="5"/>
  <c r="C321" i="5"/>
  <c r="C317" i="5"/>
  <c r="C312" i="5"/>
  <c r="I375" i="5"/>
  <c r="I371" i="5"/>
  <c r="I366" i="5"/>
  <c r="I362" i="5"/>
  <c r="I357" i="5"/>
  <c r="I353" i="5"/>
  <c r="I374" i="5"/>
  <c r="I373" i="5"/>
  <c r="I372" i="5"/>
  <c r="I365" i="5"/>
  <c r="I364" i="5"/>
  <c r="I363" i="5"/>
  <c r="I356" i="5"/>
  <c r="I355" i="5"/>
  <c r="I354" i="5"/>
  <c r="I349" i="5"/>
  <c r="I344" i="5"/>
  <c r="I340" i="5"/>
  <c r="I370" i="5"/>
  <c r="I359" i="5"/>
  <c r="I352" i="5"/>
  <c r="I350" i="5"/>
  <c r="I368" i="5"/>
  <c r="I348" i="5"/>
  <c r="I346" i="5"/>
  <c r="I345" i="5"/>
  <c r="I339" i="5"/>
  <c r="I360" i="5"/>
  <c r="I343" i="5"/>
  <c r="I342" i="5"/>
  <c r="I341" i="5"/>
  <c r="I337" i="5"/>
  <c r="I332" i="5"/>
  <c r="I328" i="5"/>
  <c r="I323" i="5"/>
  <c r="I319" i="5"/>
  <c r="I315" i="5"/>
  <c r="I310" i="5"/>
  <c r="I311" i="5"/>
  <c r="I312" i="5"/>
  <c r="C313" i="5"/>
  <c r="I313" i="5"/>
  <c r="C315" i="5"/>
  <c r="H315" i="5"/>
  <c r="I320" i="5"/>
  <c r="I321" i="5"/>
  <c r="C322" i="5"/>
  <c r="I322" i="5"/>
  <c r="C323" i="5"/>
  <c r="H323" i="5"/>
  <c r="I329" i="5"/>
  <c r="I330" i="5"/>
  <c r="C331" i="5"/>
  <c r="I331" i="5"/>
  <c r="C332" i="5"/>
  <c r="H332" i="5"/>
  <c r="E343" i="5"/>
  <c r="C345" i="5"/>
  <c r="I351" i="5"/>
  <c r="I361" i="5"/>
  <c r="C363" i="5"/>
  <c r="H372" i="5"/>
  <c r="D374" i="5"/>
  <c r="D370" i="5"/>
  <c r="D365" i="5"/>
  <c r="D361" i="5"/>
  <c r="D356" i="5"/>
  <c r="D352" i="5"/>
  <c r="D389" i="5"/>
  <c r="D388" i="5"/>
  <c r="D380" i="5"/>
  <c r="D379" i="5"/>
  <c r="D373" i="5"/>
  <c r="D372" i="5"/>
  <c r="D364" i="5"/>
  <c r="D363" i="5"/>
  <c r="D355" i="5"/>
  <c r="D354" i="5"/>
  <c r="D348" i="5"/>
  <c r="D343" i="5"/>
  <c r="D391" i="5"/>
  <c r="D390" i="5"/>
  <c r="D382" i="5"/>
  <c r="D381" i="5"/>
  <c r="D375" i="5"/>
  <c r="D366" i="5"/>
  <c r="D357" i="5"/>
  <c r="D313" i="5"/>
  <c r="D318" i="5"/>
  <c r="D322" i="5"/>
  <c r="D327" i="5"/>
  <c r="D331" i="5"/>
  <c r="D335" i="5"/>
  <c r="D341" i="5"/>
  <c r="D342" i="5"/>
  <c r="D350" i="5"/>
  <c r="D368" i="5"/>
  <c r="D377" i="5"/>
  <c r="D384" i="5"/>
  <c r="D385" i="5"/>
  <c r="D392" i="5"/>
  <c r="F369" i="5" l="1"/>
  <c r="G369" i="5" s="1"/>
  <c r="F387" i="5"/>
  <c r="G387" i="5" s="1"/>
  <c r="F325" i="5"/>
  <c r="G325" i="5" s="1"/>
  <c r="F347" i="5"/>
  <c r="G347" i="5" s="1"/>
  <c r="F336" i="5"/>
  <c r="G336" i="5" s="1"/>
  <c r="F378" i="5"/>
  <c r="G378" i="5" s="1"/>
  <c r="F314" i="5"/>
  <c r="G314" i="5" s="1"/>
  <c r="F358" i="5"/>
  <c r="G358" i="5" s="1"/>
  <c r="J363" i="5"/>
  <c r="J359" i="5"/>
  <c r="K359" i="5" s="1"/>
  <c r="L359" i="5" s="1"/>
  <c r="J351" i="5"/>
  <c r="K351" i="5" s="1"/>
  <c r="L351" i="5" s="1"/>
  <c r="J347" i="5"/>
  <c r="K347" i="5" s="1"/>
  <c r="L347" i="5" s="1"/>
  <c r="J329" i="5"/>
  <c r="J325" i="5"/>
  <c r="K325" i="5" s="1"/>
  <c r="L325" i="5" s="1"/>
  <c r="J317" i="5"/>
  <c r="J373" i="5"/>
  <c r="K373" i="5" s="1"/>
  <c r="L373" i="5" s="1"/>
  <c r="J369" i="5"/>
  <c r="K369" i="5" s="1"/>
  <c r="L369" i="5" s="1"/>
  <c r="J339" i="5"/>
  <c r="K339" i="5" s="1"/>
  <c r="L339" i="5" s="1"/>
  <c r="J362" i="5"/>
  <c r="K362" i="5" s="1"/>
  <c r="L362" i="5" s="1"/>
  <c r="J358" i="5"/>
  <c r="K358" i="5" s="1"/>
  <c r="L358" i="5" s="1"/>
  <c r="J350" i="5"/>
  <c r="J328" i="5"/>
  <c r="K328" i="5" s="1"/>
  <c r="L328" i="5" s="1"/>
  <c r="J320" i="5"/>
  <c r="K320" i="5" s="1"/>
  <c r="L320" i="5" s="1"/>
  <c r="J316" i="5"/>
  <c r="K316" i="5" s="1"/>
  <c r="L316" i="5" s="1"/>
  <c r="J372" i="5"/>
  <c r="J342" i="5"/>
  <c r="K342" i="5" s="1"/>
  <c r="L342" i="5" s="1"/>
  <c r="J338" i="5"/>
  <c r="K338" i="5" s="1"/>
  <c r="L338" i="5" s="1"/>
  <c r="J361" i="5"/>
  <c r="K361" i="5" s="1"/>
  <c r="L361" i="5" s="1"/>
  <c r="J353" i="5"/>
  <c r="J349" i="5"/>
  <c r="K349" i="5" s="1"/>
  <c r="L349" i="5" s="1"/>
  <c r="J331" i="5"/>
  <c r="K331" i="5" s="1"/>
  <c r="L331" i="5" s="1"/>
  <c r="J327" i="5"/>
  <c r="K327" i="5" s="1"/>
  <c r="L327" i="5" s="1"/>
  <c r="J319" i="5"/>
  <c r="J315" i="5"/>
  <c r="K315" i="5" s="1"/>
  <c r="L315" i="5" s="1"/>
  <c r="J375" i="5"/>
  <c r="K375" i="5" s="1"/>
  <c r="L375" i="5" s="1"/>
  <c r="J371" i="5"/>
  <c r="K371" i="5" s="1"/>
  <c r="L371" i="5" s="1"/>
  <c r="J341" i="5"/>
  <c r="J337" i="5"/>
  <c r="J364" i="5"/>
  <c r="K364" i="5" s="1"/>
  <c r="L364" i="5" s="1"/>
  <c r="J360" i="5"/>
  <c r="K360" i="5" s="1"/>
  <c r="L360" i="5" s="1"/>
  <c r="J326" i="5"/>
  <c r="J318" i="5"/>
  <c r="K318" i="5" s="1"/>
  <c r="L318" i="5" s="1"/>
  <c r="J374" i="5"/>
  <c r="K374" i="5" s="1"/>
  <c r="L374" i="5" s="1"/>
  <c r="J314" i="5"/>
  <c r="K314" i="5" s="1"/>
  <c r="L314" i="5" s="1"/>
  <c r="J370" i="5"/>
  <c r="J340" i="5"/>
  <c r="K340" i="5" s="1"/>
  <c r="L340" i="5" s="1"/>
  <c r="J352" i="5"/>
  <c r="K352" i="5" s="1"/>
  <c r="L352" i="5" s="1"/>
  <c r="J336" i="5"/>
  <c r="K336" i="5" s="1"/>
  <c r="L336" i="5" s="1"/>
  <c r="J348" i="5"/>
  <c r="J330" i="5"/>
  <c r="K330" i="5" s="1"/>
  <c r="L330" i="5" s="1"/>
  <c r="F328" i="5"/>
  <c r="G328" i="5" s="1"/>
  <c r="F311" i="5"/>
  <c r="G311" i="5" s="1"/>
  <c r="A68" i="5"/>
  <c r="G121" i="5"/>
  <c r="C121" i="5"/>
  <c r="E121" i="5" s="1"/>
  <c r="C65" i="5" s="1"/>
  <c r="D65" i="5" s="1"/>
  <c r="A65" i="5"/>
  <c r="G120" i="5"/>
  <c r="C120" i="5"/>
  <c r="E120" i="5" s="1"/>
  <c r="C64" i="5" s="1"/>
  <c r="D64" i="5" s="1"/>
  <c r="A64" i="5"/>
  <c r="F326" i="5"/>
  <c r="G326" i="5" s="1"/>
  <c r="F324" i="5"/>
  <c r="G324" i="5" s="1"/>
  <c r="F321" i="5"/>
  <c r="G321" i="5" s="1"/>
  <c r="F339" i="5"/>
  <c r="G339" i="5" s="1"/>
  <c r="F310" i="5"/>
  <c r="G310" i="5" s="1"/>
  <c r="F345" i="5"/>
  <c r="G345" i="5" s="1"/>
  <c r="F359" i="5"/>
  <c r="G359" i="5" s="1"/>
  <c r="F329" i="5"/>
  <c r="G329" i="5" s="1"/>
  <c r="F317" i="5"/>
  <c r="G317" i="5" s="1"/>
  <c r="F334" i="5"/>
  <c r="G334" i="5" s="1"/>
  <c r="F312" i="5"/>
  <c r="G312" i="5" s="1"/>
  <c r="F330" i="5"/>
  <c r="G330" i="5" s="1"/>
  <c r="F333" i="5"/>
  <c r="G333" i="5" s="1"/>
  <c r="F316" i="5"/>
  <c r="G316" i="5" s="1"/>
  <c r="A69" i="5"/>
  <c r="F379" i="5"/>
  <c r="G379" i="5" s="1"/>
  <c r="F346" i="5"/>
  <c r="G346" i="5" s="1"/>
  <c r="F323" i="5"/>
  <c r="G323" i="5" s="1"/>
  <c r="F349" i="5"/>
  <c r="G349" i="5" s="1"/>
  <c r="F351" i="5"/>
  <c r="G351" i="5" s="1"/>
  <c r="F320" i="5"/>
  <c r="G320" i="5" s="1"/>
  <c r="F376" i="5"/>
  <c r="G376" i="5" s="1"/>
  <c r="E124" i="5"/>
  <c r="C68" i="5" s="1"/>
  <c r="D68" i="5" s="1"/>
  <c r="F341" i="5"/>
  <c r="G341" i="5" s="1"/>
  <c r="F331" i="5"/>
  <c r="G331" i="5" s="1"/>
  <c r="F313" i="5"/>
  <c r="G313" i="5" s="1"/>
  <c r="F343" i="5"/>
  <c r="G343" i="5" s="1"/>
  <c r="F350" i="5"/>
  <c r="G350" i="5" s="1"/>
  <c r="F385" i="5"/>
  <c r="G385" i="5" s="1"/>
  <c r="F383" i="5"/>
  <c r="G383" i="5" s="1"/>
  <c r="F363" i="5"/>
  <c r="G363" i="5" s="1"/>
  <c r="F344" i="5"/>
  <c r="G344" i="5" s="1"/>
  <c r="F337" i="5"/>
  <c r="G337" i="5" s="1"/>
  <c r="F353" i="5"/>
  <c r="G353" i="5" s="1"/>
  <c r="F370" i="5"/>
  <c r="G370" i="5" s="1"/>
  <c r="A57" i="5"/>
  <c r="F170" i="5"/>
  <c r="G170" i="5" s="1"/>
  <c r="C173" i="5"/>
  <c r="F173" i="5" s="1"/>
  <c r="G173" i="5" s="1"/>
  <c r="C171" i="5"/>
  <c r="F171" i="5" s="1"/>
  <c r="G171" i="5" s="1"/>
  <c r="C172" i="5"/>
  <c r="F172" i="5" s="1"/>
  <c r="G172" i="5" s="1"/>
  <c r="F131" i="5"/>
  <c r="C133" i="5"/>
  <c r="F133" i="5" s="1"/>
  <c r="G133" i="5" s="1"/>
  <c r="C132" i="5"/>
  <c r="F132" i="5" s="1"/>
  <c r="G132" i="5" s="1"/>
  <c r="C137" i="5"/>
  <c r="F137" i="5" s="1"/>
  <c r="G137" i="5" s="1"/>
  <c r="C136" i="5"/>
  <c r="F136" i="5" s="1"/>
  <c r="G136" i="5" s="1"/>
  <c r="C134" i="5"/>
  <c r="F134" i="5" s="1"/>
  <c r="G134" i="5" s="1"/>
  <c r="C135" i="5"/>
  <c r="F135" i="5" s="1"/>
  <c r="G135" i="5" s="1"/>
  <c r="E113" i="5"/>
  <c r="C57" i="5" s="1"/>
  <c r="D57" i="5" s="1"/>
  <c r="C157" i="5"/>
  <c r="F157" i="5" s="1"/>
  <c r="G157" i="5" s="1"/>
  <c r="F154" i="5"/>
  <c r="G154" i="5" s="1"/>
  <c r="C155" i="5"/>
  <c r="F155" i="5" s="1"/>
  <c r="G155" i="5" s="1"/>
  <c r="C156" i="5"/>
  <c r="F156" i="5" s="1"/>
  <c r="G156" i="5" s="1"/>
  <c r="C167" i="5"/>
  <c r="F167" i="5" s="1"/>
  <c r="G167" i="5" s="1"/>
  <c r="C163" i="5"/>
  <c r="F163" i="5" s="1"/>
  <c r="G163" i="5" s="1"/>
  <c r="C165" i="5"/>
  <c r="F165" i="5" s="1"/>
  <c r="G165" i="5" s="1"/>
  <c r="C162" i="5"/>
  <c r="F162" i="5" s="1"/>
  <c r="G162" i="5" s="1"/>
  <c r="C164" i="5"/>
  <c r="F164" i="5" s="1"/>
  <c r="G164" i="5" s="1"/>
  <c r="F161" i="5"/>
  <c r="G161" i="5" s="1"/>
  <c r="C166" i="5"/>
  <c r="F166" i="5" s="1"/>
  <c r="G166" i="5" s="1"/>
  <c r="F139" i="5"/>
  <c r="G139" i="5" s="1"/>
  <c r="C140" i="5"/>
  <c r="F140" i="5" s="1"/>
  <c r="G140" i="5" s="1"/>
  <c r="C141" i="5"/>
  <c r="F141" i="5" s="1"/>
  <c r="G141" i="5" s="1"/>
  <c r="C142" i="5"/>
  <c r="F142" i="5" s="1"/>
  <c r="G142" i="5" s="1"/>
  <c r="F146" i="5"/>
  <c r="G146" i="5" s="1"/>
  <c r="C150" i="5"/>
  <c r="F150" i="5" s="1"/>
  <c r="G150" i="5" s="1"/>
  <c r="C147" i="5"/>
  <c r="F147" i="5" s="1"/>
  <c r="G147" i="5" s="1"/>
  <c r="C152" i="5"/>
  <c r="F152" i="5" s="1"/>
  <c r="G152" i="5" s="1"/>
  <c r="C149" i="5"/>
  <c r="F149" i="5" s="1"/>
  <c r="G149" i="5" s="1"/>
  <c r="C148" i="5"/>
  <c r="F148" i="5" s="1"/>
  <c r="G148" i="5" s="1"/>
  <c r="C151" i="5"/>
  <c r="F151" i="5" s="1"/>
  <c r="G151" i="5" s="1"/>
  <c r="E126" i="5"/>
  <c r="A70" i="5"/>
  <c r="E125" i="5"/>
  <c r="C69" i="5" s="1"/>
  <c r="D67" i="5"/>
  <c r="F319" i="5"/>
  <c r="G319" i="5" s="1"/>
  <c r="F318" i="5"/>
  <c r="G318" i="5" s="1"/>
  <c r="F357" i="5"/>
  <c r="G357" i="5" s="1"/>
  <c r="F355" i="5"/>
  <c r="G355" i="5" s="1"/>
  <c r="F373" i="5"/>
  <c r="G373" i="5" s="1"/>
  <c r="F393" i="5"/>
  <c r="G393" i="5" s="1"/>
  <c r="F338" i="5"/>
  <c r="G338" i="5" s="1"/>
  <c r="F327" i="5"/>
  <c r="G327" i="5" s="1"/>
  <c r="C203" i="5"/>
  <c r="F203" i="5" s="1"/>
  <c r="C205" i="5"/>
  <c r="F205" i="5" s="1"/>
  <c r="F202" i="5"/>
  <c r="C206" i="5"/>
  <c r="F206" i="5" s="1"/>
  <c r="C207" i="5"/>
  <c r="F207" i="5" s="1"/>
  <c r="C208" i="5"/>
  <c r="F208" i="5" s="1"/>
  <c r="C204" i="5"/>
  <c r="F204" i="5" s="1"/>
  <c r="F214" i="5"/>
  <c r="C217" i="5"/>
  <c r="F217" i="5" s="1"/>
  <c r="C215" i="5"/>
  <c r="F215" i="5" s="1"/>
  <c r="C216" i="5"/>
  <c r="F216" i="5" s="1"/>
  <c r="C233" i="5"/>
  <c r="F232" i="5"/>
  <c r="F332" i="5"/>
  <c r="G332" i="5" s="1"/>
  <c r="F322" i="5"/>
  <c r="G322" i="5" s="1"/>
  <c r="F315" i="5"/>
  <c r="G315" i="5" s="1"/>
  <c r="F352" i="5"/>
  <c r="G352" i="5" s="1"/>
  <c r="F340" i="5"/>
  <c r="G340" i="5" s="1"/>
  <c r="F371" i="5"/>
  <c r="G371" i="5" s="1"/>
  <c r="F361" i="5"/>
  <c r="G361" i="5" s="1"/>
  <c r="F367" i="5"/>
  <c r="G367" i="5" s="1"/>
  <c r="F342" i="5"/>
  <c r="G342" i="5" s="1"/>
  <c r="F365" i="5"/>
  <c r="G365" i="5" s="1"/>
  <c r="F381" i="5"/>
  <c r="G381" i="5" s="1"/>
  <c r="F360" i="5"/>
  <c r="G360" i="5" s="1"/>
  <c r="F377" i="5"/>
  <c r="G377" i="5" s="1"/>
  <c r="F386" i="5"/>
  <c r="G386" i="5" s="1"/>
  <c r="K372" i="5"/>
  <c r="L372" i="5" s="1"/>
  <c r="J367" i="5"/>
  <c r="K367" i="5" s="1"/>
  <c r="L367" i="5" s="1"/>
  <c r="K363" i="5"/>
  <c r="L363" i="5" s="1"/>
  <c r="J354" i="5"/>
  <c r="K354" i="5" s="1"/>
  <c r="L354" i="5" s="1"/>
  <c r="K350" i="5"/>
  <c r="L350" i="5" s="1"/>
  <c r="J345" i="5"/>
  <c r="K345" i="5" s="1"/>
  <c r="L345" i="5" s="1"/>
  <c r="K341" i="5"/>
  <c r="L341" i="5" s="1"/>
  <c r="J366" i="5"/>
  <c r="K366" i="5" s="1"/>
  <c r="L366" i="5" s="1"/>
  <c r="J365" i="5"/>
  <c r="K365" i="5" s="1"/>
  <c r="L365" i="5" s="1"/>
  <c r="J357" i="5"/>
  <c r="K357" i="5" s="1"/>
  <c r="L357" i="5" s="1"/>
  <c r="J356" i="5"/>
  <c r="K356" i="5" s="1"/>
  <c r="L356" i="5" s="1"/>
  <c r="J355" i="5"/>
  <c r="K355" i="5" s="1"/>
  <c r="L355" i="5" s="1"/>
  <c r="J368" i="5"/>
  <c r="K368" i="5" s="1"/>
  <c r="L368" i="5" s="1"/>
  <c r="K348" i="5"/>
  <c r="L348" i="5" s="1"/>
  <c r="J346" i="5"/>
  <c r="K346" i="5" s="1"/>
  <c r="L346" i="5" s="1"/>
  <c r="J335" i="5"/>
  <c r="K335" i="5" s="1"/>
  <c r="L335" i="5" s="1"/>
  <c r="K370" i="5"/>
  <c r="L370" i="5" s="1"/>
  <c r="J333" i="5"/>
  <c r="K333" i="5" s="1"/>
  <c r="L333" i="5" s="1"/>
  <c r="K329" i="5"/>
  <c r="L329" i="5" s="1"/>
  <c r="J324" i="5"/>
  <c r="K324" i="5" s="1"/>
  <c r="L324" i="5" s="1"/>
  <c r="J311" i="5"/>
  <c r="K311" i="5" s="1"/>
  <c r="L311" i="5" s="1"/>
  <c r="K337" i="5"/>
  <c r="L337" i="5" s="1"/>
  <c r="J334" i="5"/>
  <c r="K334" i="5" s="1"/>
  <c r="L334" i="5" s="1"/>
  <c r="K326" i="5"/>
  <c r="L326" i="5" s="1"/>
  <c r="K317" i="5"/>
  <c r="L317" i="5" s="1"/>
  <c r="J344" i="5"/>
  <c r="K344" i="5" s="1"/>
  <c r="L344" i="5" s="1"/>
  <c r="J343" i="5"/>
  <c r="K343" i="5" s="1"/>
  <c r="L343" i="5" s="1"/>
  <c r="K353" i="5"/>
  <c r="L353" i="5" s="1"/>
  <c r="J332" i="5"/>
  <c r="K332" i="5" s="1"/>
  <c r="L332" i="5" s="1"/>
  <c r="J323" i="5"/>
  <c r="K323" i="5" s="1"/>
  <c r="L323" i="5" s="1"/>
  <c r="J322" i="5"/>
  <c r="K322" i="5" s="1"/>
  <c r="L322" i="5" s="1"/>
  <c r="J321" i="5"/>
  <c r="K321" i="5" s="1"/>
  <c r="L321" i="5" s="1"/>
  <c r="J313" i="5"/>
  <c r="K313" i="5" s="1"/>
  <c r="L313" i="5" s="1"/>
  <c r="J312" i="5"/>
  <c r="K312" i="5" s="1"/>
  <c r="L312" i="5" s="1"/>
  <c r="K319" i="5"/>
  <c r="L319" i="5" s="1"/>
  <c r="J310" i="5"/>
  <c r="K310" i="5" s="1"/>
  <c r="L310" i="5" s="1"/>
  <c r="F229" i="5"/>
  <c r="C97" i="5" s="1"/>
  <c r="G225" i="5"/>
  <c r="G229" i="5" s="1"/>
  <c r="A97" i="5" s="1"/>
  <c r="B97" i="5" s="1"/>
  <c r="F348" i="5"/>
  <c r="G348" i="5" s="1"/>
  <c r="F372" i="5"/>
  <c r="G372" i="5" s="1"/>
  <c r="F366" i="5"/>
  <c r="G366" i="5" s="1"/>
  <c r="F390" i="5"/>
  <c r="G390" i="5" s="1"/>
  <c r="F364" i="5"/>
  <c r="G364" i="5" s="1"/>
  <c r="F380" i="5"/>
  <c r="G380" i="5" s="1"/>
  <c r="F389" i="5"/>
  <c r="G389" i="5" s="1"/>
  <c r="F335" i="5"/>
  <c r="G335" i="5" s="1"/>
  <c r="L242" i="5"/>
  <c r="C245" i="5"/>
  <c r="L245" i="5" s="1"/>
  <c r="C244" i="5"/>
  <c r="R244" i="5" s="1"/>
  <c r="C243" i="5"/>
  <c r="L243" i="5" s="1"/>
  <c r="M243" i="5" s="1"/>
  <c r="F241" i="5"/>
  <c r="C242" i="5"/>
  <c r="R242" i="5" s="1"/>
  <c r="F388" i="5"/>
  <c r="G388" i="5" s="1"/>
  <c r="F356" i="5"/>
  <c r="G356" i="5" s="1"/>
  <c r="F374" i="5"/>
  <c r="G374" i="5" s="1"/>
  <c r="F368" i="5"/>
  <c r="G368" i="5" s="1"/>
  <c r="F382" i="5"/>
  <c r="G382" i="5" s="1"/>
  <c r="F391" i="5"/>
  <c r="G391" i="5" s="1"/>
  <c r="C188" i="5"/>
  <c r="F188" i="5" s="1"/>
  <c r="C187" i="5"/>
  <c r="F187" i="5" s="1"/>
  <c r="C190" i="5"/>
  <c r="F190" i="5" s="1"/>
  <c r="C186" i="5"/>
  <c r="F186" i="5" s="1"/>
  <c r="F184" i="5"/>
  <c r="C185" i="5"/>
  <c r="F185" i="5" s="1"/>
  <c r="C189" i="5"/>
  <c r="F189" i="5" s="1"/>
  <c r="C197" i="5"/>
  <c r="F197" i="5" s="1"/>
  <c r="C199" i="5"/>
  <c r="F199" i="5" s="1"/>
  <c r="C198" i="5"/>
  <c r="F198" i="5" s="1"/>
  <c r="F196" i="5"/>
  <c r="F354" i="5"/>
  <c r="G354" i="5" s="1"/>
  <c r="F392" i="5"/>
  <c r="G392" i="5" s="1"/>
  <c r="F375" i="5"/>
  <c r="G375" i="5" s="1"/>
  <c r="F384" i="5"/>
  <c r="G384" i="5" s="1"/>
  <c r="G122" i="5" l="1"/>
  <c r="A122" i="5" s="1"/>
  <c r="B122" i="5" s="1"/>
  <c r="G153" i="5"/>
  <c r="J159" i="5" s="1"/>
  <c r="L376" i="5"/>
  <c r="D119" i="5" s="1"/>
  <c r="A119" i="5" s="1"/>
  <c r="B119" i="5" s="1"/>
  <c r="G174" i="5"/>
  <c r="G168" i="5"/>
  <c r="J175" i="5" s="1"/>
  <c r="G158" i="5"/>
  <c r="G143" i="5"/>
  <c r="G131" i="5"/>
  <c r="G138" i="5" s="1"/>
  <c r="J144" i="5" s="1"/>
  <c r="F138" i="5"/>
  <c r="D69" i="5"/>
  <c r="C70" i="5"/>
  <c r="D70" i="5" s="1"/>
  <c r="G394" i="5"/>
  <c r="D118" i="5" s="1"/>
  <c r="A118" i="5" s="1"/>
  <c r="B118" i="5" s="1"/>
  <c r="I186" i="5"/>
  <c r="G186" i="5"/>
  <c r="G198" i="5"/>
  <c r="I198" i="5"/>
  <c r="I185" i="5"/>
  <c r="G185" i="5"/>
  <c r="I216" i="5"/>
  <c r="G216" i="5"/>
  <c r="G202" i="5"/>
  <c r="F209" i="5"/>
  <c r="I202" i="5"/>
  <c r="I199" i="5"/>
  <c r="G199" i="5"/>
  <c r="I184" i="5"/>
  <c r="F191" i="5"/>
  <c r="C95" i="5" s="1"/>
  <c r="G184" i="5"/>
  <c r="I188" i="5"/>
  <c r="G188" i="5"/>
  <c r="U244" i="5"/>
  <c r="U246" i="5" s="1"/>
  <c r="S244" i="5"/>
  <c r="G215" i="5"/>
  <c r="I215" i="5"/>
  <c r="G208" i="5"/>
  <c r="I208" i="5"/>
  <c r="G205" i="5"/>
  <c r="I205" i="5"/>
  <c r="R246" i="5"/>
  <c r="C101" i="5" s="1"/>
  <c r="S242" i="5"/>
  <c r="S246" i="5" s="1"/>
  <c r="A101" i="5" s="1"/>
  <c r="B101" i="5" s="1"/>
  <c r="A41" i="5"/>
  <c r="E97" i="5"/>
  <c r="C41" i="5" s="1"/>
  <c r="D41" i="5" s="1"/>
  <c r="I232" i="5"/>
  <c r="G232" i="5"/>
  <c r="G207" i="5"/>
  <c r="I207" i="5"/>
  <c r="G203" i="5"/>
  <c r="I203" i="5"/>
  <c r="M245" i="5"/>
  <c r="O245" i="5"/>
  <c r="O246" i="5" s="1"/>
  <c r="I217" i="5"/>
  <c r="G217" i="5"/>
  <c r="I196" i="5"/>
  <c r="G196" i="5"/>
  <c r="F200" i="5"/>
  <c r="I189" i="5"/>
  <c r="G189" i="5"/>
  <c r="I190" i="5"/>
  <c r="G190" i="5"/>
  <c r="G241" i="5"/>
  <c r="G246" i="5" s="1"/>
  <c r="A99" i="5" s="1"/>
  <c r="B99" i="5" s="1"/>
  <c r="I241" i="5"/>
  <c r="I246" i="5" s="1"/>
  <c r="F246" i="5"/>
  <c r="C99" i="5" s="1"/>
  <c r="M242" i="5"/>
  <c r="L246" i="5"/>
  <c r="C100" i="5" s="1"/>
  <c r="F233" i="5"/>
  <c r="C234" i="5"/>
  <c r="F218" i="5"/>
  <c r="I214" i="5"/>
  <c r="G214" i="5"/>
  <c r="G206" i="5"/>
  <c r="I206" i="5"/>
  <c r="I197" i="5"/>
  <c r="G197" i="5"/>
  <c r="I187" i="5"/>
  <c r="G187" i="5"/>
  <c r="G204" i="5"/>
  <c r="I204" i="5"/>
  <c r="E118" i="5" l="1"/>
  <c r="C62" i="5" s="1"/>
  <c r="D62" i="5" s="1"/>
  <c r="A63" i="5"/>
  <c r="A66" i="5"/>
  <c r="C122" i="5"/>
  <c r="E122" i="5" s="1"/>
  <c r="C66" i="5" s="1"/>
  <c r="D66" i="5" s="1"/>
  <c r="C159" i="5"/>
  <c r="C144" i="5"/>
  <c r="C175" i="5"/>
  <c r="E119" i="5"/>
  <c r="C63" i="5" s="1"/>
  <c r="D63" i="5" s="1"/>
  <c r="A62" i="5"/>
  <c r="G218" i="5"/>
  <c r="R248" i="5"/>
  <c r="I200" i="5"/>
  <c r="G233" i="5"/>
  <c r="I233" i="5"/>
  <c r="I209" i="5"/>
  <c r="I218" i="5"/>
  <c r="A43" i="5"/>
  <c r="E99" i="5"/>
  <c r="C43" i="5" s="1"/>
  <c r="D43" i="5" s="1"/>
  <c r="I191" i="5"/>
  <c r="M246" i="5"/>
  <c r="A100" i="5" s="1"/>
  <c r="B100" i="5" s="1"/>
  <c r="G209" i="5"/>
  <c r="C235" i="5"/>
  <c r="F234" i="5"/>
  <c r="G200" i="5"/>
  <c r="E101" i="5"/>
  <c r="C45" i="5" s="1"/>
  <c r="D45" i="5" s="1"/>
  <c r="A45" i="5"/>
  <c r="G191" i="5"/>
  <c r="E192" i="5" l="1"/>
  <c r="C114" i="5" s="1"/>
  <c r="E114" i="5" s="1"/>
  <c r="C58" i="5" s="1"/>
  <c r="D58" i="5" s="1"/>
  <c r="C273" i="5"/>
  <c r="C111" i="5" s="1"/>
  <c r="E111" i="5" s="1"/>
  <c r="C55" i="5" s="1"/>
  <c r="D55" i="5" s="1"/>
  <c r="C266" i="5"/>
  <c r="C109" i="5" s="1"/>
  <c r="E109" i="5" s="1"/>
  <c r="C53" i="5" s="1"/>
  <c r="D53" i="5" s="1"/>
  <c r="C278" i="5"/>
  <c r="C112" i="5" s="1"/>
  <c r="E112" i="5" s="1"/>
  <c r="C56" i="5" s="1"/>
  <c r="D56" i="5" s="1"/>
  <c r="C117" i="5"/>
  <c r="E117" i="5" s="1"/>
  <c r="C192" i="5"/>
  <c r="Q194" i="5" s="1"/>
  <c r="A95" i="5" s="1"/>
  <c r="B95" i="5" s="1"/>
  <c r="J192" i="5"/>
  <c r="R194" i="5" s="1"/>
  <c r="A96" i="5" s="1"/>
  <c r="B96" i="5" s="1"/>
  <c r="J210" i="5"/>
  <c r="C210" i="5"/>
  <c r="I234" i="5"/>
  <c r="G234" i="5"/>
  <c r="E100" i="5"/>
  <c r="C44" i="5" s="1"/>
  <c r="D44" i="5" s="1"/>
  <c r="A44" i="5"/>
  <c r="C236" i="5"/>
  <c r="F235" i="5"/>
  <c r="C108" i="5" l="1"/>
  <c r="E108" i="5" s="1"/>
  <c r="C52" i="5" s="1"/>
  <c r="D52" i="5" s="1"/>
  <c r="C61" i="5"/>
  <c r="D61" i="5" s="1"/>
  <c r="E95" i="5"/>
  <c r="C39" i="5" s="1"/>
  <c r="D39" i="5" s="1"/>
  <c r="A39" i="5"/>
  <c r="G235" i="5"/>
  <c r="I235" i="5"/>
  <c r="F236" i="5"/>
  <c r="C237" i="5"/>
  <c r="F237" i="5" s="1"/>
  <c r="E96" i="5"/>
  <c r="C40" i="5" s="1"/>
  <c r="D40" i="5" s="1"/>
  <c r="A40" i="5"/>
  <c r="F238" i="5" l="1"/>
  <c r="C98" i="5" s="1"/>
  <c r="G237" i="5"/>
  <c r="I237" i="5"/>
  <c r="I236" i="5"/>
  <c r="G236" i="5"/>
  <c r="I238" i="5" l="1"/>
  <c r="G238" i="5"/>
  <c r="A98" i="5" l="1"/>
  <c r="B98" i="5" s="1"/>
  <c r="A42" i="5" l="1"/>
  <c r="F98" i="5"/>
  <c r="E42" i="5" s="1"/>
  <c r="E98" i="5"/>
  <c r="C42" i="5" s="1"/>
  <c r="D42" i="5" s="1"/>
  <c r="C112" i="3" l="1"/>
  <c r="C111" i="3"/>
  <c r="J166" i="4"/>
  <c r="J140" i="1"/>
  <c r="J178" i="3"/>
  <c r="C104" i="4"/>
  <c r="G132" i="4" s="1"/>
  <c r="E68" i="4" s="1"/>
  <c r="C85" i="3"/>
  <c r="D85" i="3"/>
  <c r="C90" i="1"/>
  <c r="C139" i="4" l="1"/>
  <c r="I375" i="4"/>
  <c r="H315" i="4"/>
  <c r="C407" i="4"/>
  <c r="H353" i="4" l="1"/>
  <c r="H357" i="4"/>
  <c r="H361" i="4"/>
  <c r="H365" i="4"/>
  <c r="H369" i="4"/>
  <c r="H373" i="4"/>
  <c r="H377" i="4"/>
  <c r="H350" i="4"/>
  <c r="H354" i="4"/>
  <c r="H358" i="4"/>
  <c r="H362" i="4"/>
  <c r="H366" i="4"/>
  <c r="H370" i="4"/>
  <c r="H374" i="4"/>
  <c r="H378" i="4"/>
  <c r="H352" i="4"/>
  <c r="H356" i="4"/>
  <c r="H364" i="4"/>
  <c r="H372" i="4"/>
  <c r="H380" i="4"/>
  <c r="H351" i="4"/>
  <c r="H355" i="4"/>
  <c r="H359" i="4"/>
  <c r="H363" i="4"/>
  <c r="H367" i="4"/>
  <c r="H371" i="4"/>
  <c r="H375" i="4"/>
  <c r="H379" i="4"/>
  <c r="H360" i="4"/>
  <c r="H368" i="4"/>
  <c r="H376" i="4"/>
  <c r="H349" i="4"/>
  <c r="H347" i="4"/>
  <c r="H348" i="4"/>
  <c r="H340" i="4"/>
  <c r="D407" i="4"/>
  <c r="B141" i="4" s="1"/>
  <c r="I321" i="4"/>
  <c r="I333" i="4"/>
  <c r="I346" i="4"/>
  <c r="I332" i="4"/>
  <c r="I350" i="4"/>
  <c r="I377" i="4"/>
  <c r="I317" i="4"/>
  <c r="I357" i="4"/>
  <c r="I373" i="4"/>
  <c r="I337" i="4"/>
  <c r="I353" i="4"/>
  <c r="I365" i="4"/>
  <c r="I378" i="4"/>
  <c r="I320" i="4"/>
  <c r="I345" i="4"/>
  <c r="I352" i="4"/>
  <c r="I364" i="4"/>
  <c r="I325" i="4"/>
  <c r="I329" i="4"/>
  <c r="I342" i="4"/>
  <c r="I369" i="4"/>
  <c r="I361" i="4"/>
  <c r="I324" i="4"/>
  <c r="I326" i="4"/>
  <c r="I328" i="4"/>
  <c r="I341" i="4"/>
  <c r="I356" i="4"/>
  <c r="I368" i="4"/>
  <c r="I370" i="4"/>
  <c r="I372" i="4"/>
  <c r="I323" i="4"/>
  <c r="I319" i="4"/>
  <c r="I335" i="4"/>
  <c r="I331" i="4"/>
  <c r="I327" i="4"/>
  <c r="I344" i="4"/>
  <c r="I339" i="4"/>
  <c r="I359" i="4"/>
  <c r="I355" i="4"/>
  <c r="I351" i="4"/>
  <c r="I367" i="4"/>
  <c r="I363" i="4"/>
  <c r="I380" i="4"/>
  <c r="I376" i="4"/>
  <c r="I371" i="4"/>
  <c r="I316" i="4"/>
  <c r="I322" i="4"/>
  <c r="I318" i="4"/>
  <c r="I334" i="4"/>
  <c r="I330" i="4"/>
  <c r="I336" i="4"/>
  <c r="I343" i="4"/>
  <c r="I338" i="4"/>
  <c r="I358" i="4"/>
  <c r="I354" i="4"/>
  <c r="I360" i="4"/>
  <c r="I366" i="4"/>
  <c r="I362" i="4"/>
  <c r="I379" i="4"/>
  <c r="H346" i="4"/>
  <c r="H342" i="4"/>
  <c r="H337" i="4"/>
  <c r="H333" i="4"/>
  <c r="H329" i="4"/>
  <c r="H325" i="4"/>
  <c r="H321" i="4"/>
  <c r="H317" i="4"/>
  <c r="H345" i="4"/>
  <c r="H341" i="4"/>
  <c r="H336" i="4"/>
  <c r="H332" i="4"/>
  <c r="H328" i="4"/>
  <c r="H324" i="4"/>
  <c r="H320" i="4"/>
  <c r="H344" i="4"/>
  <c r="H339" i="4"/>
  <c r="H335" i="4"/>
  <c r="H331" i="4"/>
  <c r="H327" i="4"/>
  <c r="H323" i="4"/>
  <c r="H319" i="4"/>
  <c r="H316" i="4"/>
  <c r="H343" i="4"/>
  <c r="H338" i="4"/>
  <c r="H334" i="4"/>
  <c r="H330" i="4"/>
  <c r="H326" i="4"/>
  <c r="H322" i="4"/>
  <c r="H318" i="4"/>
  <c r="A122" i="4"/>
  <c r="B122" i="4" s="1"/>
  <c r="A121" i="4"/>
  <c r="B121" i="4" s="1"/>
  <c r="A120" i="4"/>
  <c r="B120" i="4" s="1"/>
  <c r="A119" i="4"/>
  <c r="B119" i="4" s="1"/>
  <c r="A118" i="4"/>
  <c r="B118" i="4" s="1"/>
  <c r="A117" i="4"/>
  <c r="B117" i="4" s="1"/>
  <c r="C116" i="4"/>
  <c r="C115" i="4"/>
  <c r="C141" i="4" l="1"/>
  <c r="G143" i="4"/>
  <c r="A77" i="4"/>
  <c r="A56" i="4"/>
  <c r="A58" i="4"/>
  <c r="A54" i="4"/>
  <c r="C400" i="4" l="1"/>
  <c r="E315" i="4"/>
  <c r="D371" i="4"/>
  <c r="C315" i="4"/>
  <c r="C388" i="4" s="1"/>
  <c r="A313" i="4"/>
  <c r="A312" i="4"/>
  <c r="A307" i="4"/>
  <c r="A306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A149" i="4"/>
  <c r="B149" i="4" s="1"/>
  <c r="A148" i="4"/>
  <c r="B148" i="4" s="1"/>
  <c r="A147" i="4"/>
  <c r="B147" i="4" s="1"/>
  <c r="A146" i="4"/>
  <c r="B146" i="4" s="1"/>
  <c r="C138" i="4"/>
  <c r="A131" i="4"/>
  <c r="B131" i="4" s="1"/>
  <c r="C128" i="4"/>
  <c r="A128" i="4"/>
  <c r="B128" i="4" s="1"/>
  <c r="B127" i="4"/>
  <c r="A125" i="4"/>
  <c r="B125" i="4" s="1"/>
  <c r="A124" i="4"/>
  <c r="B124" i="4" s="1"/>
  <c r="A123" i="4"/>
  <c r="B123" i="4" s="1"/>
  <c r="A57" i="4"/>
  <c r="A55" i="4"/>
  <c r="A116" i="4"/>
  <c r="B116" i="4" s="1"/>
  <c r="A115" i="4"/>
  <c r="B115" i="4" s="1"/>
  <c r="E105" i="4"/>
  <c r="D106" i="4"/>
  <c r="C15" i="4" s="1"/>
  <c r="D15" i="4" s="1"/>
  <c r="F111" i="4" s="1"/>
  <c r="C106" i="4"/>
  <c r="C194" i="4" s="1"/>
  <c r="C200" i="4" l="1"/>
  <c r="F200" i="4" s="1"/>
  <c r="F194" i="4"/>
  <c r="C197" i="4"/>
  <c r="F197" i="4" s="1"/>
  <c r="C198" i="4"/>
  <c r="F198" i="4" s="1"/>
  <c r="C195" i="4"/>
  <c r="F195" i="4" s="1"/>
  <c r="C199" i="4"/>
  <c r="F199" i="4" s="1"/>
  <c r="C196" i="4"/>
  <c r="F196" i="4" s="1"/>
  <c r="C184" i="4"/>
  <c r="C187" i="4" s="1"/>
  <c r="F187" i="4" s="1"/>
  <c r="C236" i="4"/>
  <c r="C233" i="4"/>
  <c r="C237" i="4"/>
  <c r="C234" i="4"/>
  <c r="C235" i="4"/>
  <c r="D73" i="4"/>
  <c r="C353" i="4"/>
  <c r="C361" i="4"/>
  <c r="C373" i="4"/>
  <c r="C351" i="4"/>
  <c r="C355" i="4"/>
  <c r="C359" i="4"/>
  <c r="C363" i="4"/>
  <c r="C367" i="4"/>
  <c r="C371" i="4"/>
  <c r="C375" i="4"/>
  <c r="C379" i="4"/>
  <c r="C349" i="4"/>
  <c r="C352" i="4"/>
  <c r="C356" i="4"/>
  <c r="C360" i="4"/>
  <c r="C364" i="4"/>
  <c r="C368" i="4"/>
  <c r="C372" i="4"/>
  <c r="C376" i="4"/>
  <c r="C380" i="4"/>
  <c r="C348" i="4"/>
  <c r="C357" i="4"/>
  <c r="C365" i="4"/>
  <c r="C369" i="4"/>
  <c r="C377" i="4"/>
  <c r="C350" i="4"/>
  <c r="C354" i="4"/>
  <c r="C358" i="4"/>
  <c r="C362" i="4"/>
  <c r="C366" i="4"/>
  <c r="C370" i="4"/>
  <c r="C374" i="4"/>
  <c r="C378" i="4"/>
  <c r="C347" i="4"/>
  <c r="E349" i="4"/>
  <c r="E348" i="4"/>
  <c r="E347" i="4"/>
  <c r="C383" i="4"/>
  <c r="C387" i="4"/>
  <c r="C391" i="4"/>
  <c r="C395" i="4"/>
  <c r="C384" i="4"/>
  <c r="C392" i="4"/>
  <c r="C396" i="4"/>
  <c r="C385" i="4"/>
  <c r="C389" i="4"/>
  <c r="C393" i="4"/>
  <c r="C397" i="4"/>
  <c r="C382" i="4"/>
  <c r="C386" i="4"/>
  <c r="C390" i="4"/>
  <c r="C394" i="4"/>
  <c r="C381" i="4"/>
  <c r="D70" i="4"/>
  <c r="D71" i="4"/>
  <c r="D72" i="4"/>
  <c r="D68" i="4"/>
  <c r="D69" i="4"/>
  <c r="C340" i="4"/>
  <c r="E386" i="4"/>
  <c r="E378" i="4"/>
  <c r="E374" i="4"/>
  <c r="E346" i="4"/>
  <c r="E342" i="4"/>
  <c r="E389" i="4"/>
  <c r="E385" i="4"/>
  <c r="E381" i="4"/>
  <c r="E377" i="4"/>
  <c r="E345" i="4"/>
  <c r="E341" i="4"/>
  <c r="E388" i="4"/>
  <c r="E384" i="4"/>
  <c r="E380" i="4"/>
  <c r="E376" i="4"/>
  <c r="E344" i="4"/>
  <c r="E340" i="4"/>
  <c r="E387" i="4"/>
  <c r="E383" i="4"/>
  <c r="E379" i="4"/>
  <c r="E375" i="4"/>
  <c r="E343" i="4"/>
  <c r="D66" i="4"/>
  <c r="D79" i="4"/>
  <c r="E148" i="4"/>
  <c r="C82" i="4" s="1"/>
  <c r="D82" i="4" s="1"/>
  <c r="A51" i="4"/>
  <c r="A59" i="4"/>
  <c r="E149" i="4"/>
  <c r="C84" i="4" s="1"/>
  <c r="A52" i="4"/>
  <c r="A60" i="4"/>
  <c r="E146" i="4"/>
  <c r="A61" i="4"/>
  <c r="E147" i="4"/>
  <c r="C81" i="4" s="1"/>
  <c r="D81" i="4" s="1"/>
  <c r="D126" i="4"/>
  <c r="A126" i="4" s="1"/>
  <c r="B126" i="4" s="1"/>
  <c r="F106" i="4"/>
  <c r="C17" i="4" s="1"/>
  <c r="D400" i="4"/>
  <c r="B140" i="4" s="1"/>
  <c r="D42" i="4"/>
  <c r="D41" i="4"/>
  <c r="C16" i="4"/>
  <c r="D16" i="4" s="1"/>
  <c r="K166" i="4"/>
  <c r="J315" i="4"/>
  <c r="C149" i="4"/>
  <c r="C273" i="4"/>
  <c r="C126" i="4" s="1"/>
  <c r="E141" i="4"/>
  <c r="C77" i="4" s="1"/>
  <c r="D77" i="4" s="1"/>
  <c r="C120" i="4"/>
  <c r="E120" i="4" s="1"/>
  <c r="C56" i="4" s="1"/>
  <c r="D56" i="4" s="1"/>
  <c r="C118" i="4"/>
  <c r="E118" i="4" s="1"/>
  <c r="C54" i="4" s="1"/>
  <c r="D54" i="4" s="1"/>
  <c r="C318" i="4"/>
  <c r="C320" i="4"/>
  <c r="C336" i="4"/>
  <c r="C322" i="4"/>
  <c r="E325" i="4"/>
  <c r="D344" i="4"/>
  <c r="D354" i="4"/>
  <c r="D363" i="4"/>
  <c r="D379" i="4"/>
  <c r="D396" i="4"/>
  <c r="E317" i="4"/>
  <c r="E319" i="4"/>
  <c r="E321" i="4"/>
  <c r="E323" i="4"/>
  <c r="E331" i="4"/>
  <c r="D370" i="4"/>
  <c r="D388" i="4"/>
  <c r="D394" i="4"/>
  <c r="E329" i="4"/>
  <c r="D343" i="4"/>
  <c r="D355" i="4"/>
  <c r="D362" i="4"/>
  <c r="D392" i="4"/>
  <c r="E327" i="4"/>
  <c r="E369" i="4"/>
  <c r="A53" i="4"/>
  <c r="C148" i="4"/>
  <c r="A63" i="4"/>
  <c r="A64" i="4"/>
  <c r="E115" i="4"/>
  <c r="C51" i="4" s="1"/>
  <c r="D51" i="4" s="1"/>
  <c r="E128" i="4"/>
  <c r="C64" i="4" s="1"/>
  <c r="D64" i="4" s="1"/>
  <c r="A65" i="4"/>
  <c r="E123" i="4"/>
  <c r="C59" i="4" s="1"/>
  <c r="D59" i="4" s="1"/>
  <c r="C117" i="4"/>
  <c r="C119" i="4"/>
  <c r="E119" i="4" s="1"/>
  <c r="C55" i="4" s="1"/>
  <c r="D55" i="4" s="1"/>
  <c r="E116" i="4"/>
  <c r="C52" i="4" s="1"/>
  <c r="D52" i="4" s="1"/>
  <c r="E129" i="4"/>
  <c r="C65" i="4" s="1"/>
  <c r="D65" i="4" s="1"/>
  <c r="C334" i="4"/>
  <c r="C326" i="4"/>
  <c r="C328" i="4"/>
  <c r="C330" i="4"/>
  <c r="C345" i="4"/>
  <c r="C168" i="4"/>
  <c r="C171" i="4" s="1"/>
  <c r="F171" i="4" s="1"/>
  <c r="G171" i="4" s="1"/>
  <c r="E361" i="4"/>
  <c r="E333" i="4"/>
  <c r="E335" i="4"/>
  <c r="E353" i="4"/>
  <c r="C224" i="4"/>
  <c r="A67" i="4"/>
  <c r="C156" i="4"/>
  <c r="C174" i="4"/>
  <c r="C206" i="4"/>
  <c r="C217" i="4"/>
  <c r="F217" i="4" s="1"/>
  <c r="C218" i="4"/>
  <c r="F218" i="4" s="1"/>
  <c r="G218" i="4" s="1"/>
  <c r="C219" i="4"/>
  <c r="F219" i="4" s="1"/>
  <c r="G219" i="4" s="1"/>
  <c r="C220" i="4"/>
  <c r="F220" i="4" s="1"/>
  <c r="G220" i="4" s="1"/>
  <c r="A81" i="4"/>
  <c r="A82" i="4"/>
  <c r="A83" i="4"/>
  <c r="A84" i="4"/>
  <c r="C346" i="4"/>
  <c r="C344" i="4"/>
  <c r="C342" i="4"/>
  <c r="C339" i="4"/>
  <c r="C337" i="4"/>
  <c r="C343" i="4"/>
  <c r="C341" i="4"/>
  <c r="C335" i="4"/>
  <c r="C333" i="4"/>
  <c r="C331" i="4"/>
  <c r="C329" i="4"/>
  <c r="C327" i="4"/>
  <c r="C325" i="4"/>
  <c r="C323" i="4"/>
  <c r="C321" i="4"/>
  <c r="C319" i="4"/>
  <c r="C317" i="4"/>
  <c r="C338" i="4"/>
  <c r="C316" i="4"/>
  <c r="C324" i="4"/>
  <c r="C332" i="4"/>
  <c r="D397" i="4"/>
  <c r="D395" i="4"/>
  <c r="D393" i="4"/>
  <c r="D391" i="4"/>
  <c r="D389" i="4"/>
  <c r="D387" i="4"/>
  <c r="D385" i="4"/>
  <c r="D382" i="4"/>
  <c r="D380" i="4"/>
  <c r="D378" i="4"/>
  <c r="D376" i="4"/>
  <c r="D316" i="4"/>
  <c r="D318" i="4"/>
  <c r="D320" i="4"/>
  <c r="D322" i="4"/>
  <c r="D324" i="4"/>
  <c r="D326" i="4"/>
  <c r="D328" i="4"/>
  <c r="D330" i="4"/>
  <c r="D332" i="4"/>
  <c r="D334" i="4"/>
  <c r="D336" i="4"/>
  <c r="D337" i="4"/>
  <c r="D345" i="4"/>
  <c r="D346" i="4"/>
  <c r="E355" i="4"/>
  <c r="D356" i="4"/>
  <c r="D357" i="4"/>
  <c r="E363" i="4"/>
  <c r="D364" i="4"/>
  <c r="D365" i="4"/>
  <c r="E371" i="4"/>
  <c r="D372" i="4"/>
  <c r="D373" i="4"/>
  <c r="D377" i="4"/>
  <c r="D386" i="4"/>
  <c r="E396" i="4"/>
  <c r="E394" i="4"/>
  <c r="E392" i="4"/>
  <c r="E390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38" i="4"/>
  <c r="E336" i="4"/>
  <c r="E397" i="4"/>
  <c r="E395" i="4"/>
  <c r="E393" i="4"/>
  <c r="E391" i="4"/>
  <c r="E316" i="4"/>
  <c r="E318" i="4"/>
  <c r="E320" i="4"/>
  <c r="E322" i="4"/>
  <c r="E324" i="4"/>
  <c r="E326" i="4"/>
  <c r="E328" i="4"/>
  <c r="E330" i="4"/>
  <c r="E332" i="4"/>
  <c r="E334" i="4"/>
  <c r="E337" i="4"/>
  <c r="D338" i="4"/>
  <c r="D339" i="4"/>
  <c r="D350" i="4"/>
  <c r="D351" i="4"/>
  <c r="E357" i="4"/>
  <c r="D358" i="4"/>
  <c r="D359" i="4"/>
  <c r="E365" i="4"/>
  <c r="D366" i="4"/>
  <c r="D367" i="4"/>
  <c r="E373" i="4"/>
  <c r="D375" i="4"/>
  <c r="E382" i="4"/>
  <c r="D384" i="4"/>
  <c r="D317" i="4"/>
  <c r="D319" i="4"/>
  <c r="D321" i="4"/>
  <c r="D323" i="4"/>
  <c r="D325" i="4"/>
  <c r="D327" i="4"/>
  <c r="D329" i="4"/>
  <c r="D331" i="4"/>
  <c r="D333" i="4"/>
  <c r="D335" i="4"/>
  <c r="E339" i="4"/>
  <c r="D341" i="4"/>
  <c r="D342" i="4"/>
  <c r="E351" i="4"/>
  <c r="D352" i="4"/>
  <c r="D353" i="4"/>
  <c r="E359" i="4"/>
  <c r="D360" i="4"/>
  <c r="D361" i="4"/>
  <c r="E367" i="4"/>
  <c r="D368" i="4"/>
  <c r="D369" i="4"/>
  <c r="D381" i="4"/>
  <c r="D390" i="4"/>
  <c r="D87" i="3"/>
  <c r="C87" i="3"/>
  <c r="G196" i="4" l="1"/>
  <c r="I196" i="4"/>
  <c r="I197" i="4"/>
  <c r="G197" i="4"/>
  <c r="I198" i="4"/>
  <c r="G198" i="4"/>
  <c r="I199" i="4"/>
  <c r="G199" i="4"/>
  <c r="G194" i="4"/>
  <c r="I194" i="4"/>
  <c r="F201" i="4"/>
  <c r="C189" i="4"/>
  <c r="F189" i="4" s="1"/>
  <c r="G189" i="4" s="1"/>
  <c r="I195" i="4"/>
  <c r="G195" i="4"/>
  <c r="I200" i="4"/>
  <c r="G200" i="4"/>
  <c r="C185" i="4"/>
  <c r="F185" i="4" s="1"/>
  <c r="I185" i="4" s="1"/>
  <c r="C190" i="4"/>
  <c r="F190" i="4" s="1"/>
  <c r="I190" i="4" s="1"/>
  <c r="C186" i="4"/>
  <c r="F186" i="4" s="1"/>
  <c r="G186" i="4" s="1"/>
  <c r="E117" i="4"/>
  <c r="C53" i="4" s="1"/>
  <c r="D53" i="4" s="1"/>
  <c r="C144" i="4"/>
  <c r="C188" i="4"/>
  <c r="F188" i="4" s="1"/>
  <c r="I188" i="4" s="1"/>
  <c r="F184" i="4"/>
  <c r="G184" i="4" s="1"/>
  <c r="F374" i="4"/>
  <c r="G374" i="4" s="1"/>
  <c r="J349" i="4"/>
  <c r="K349" i="4" s="1"/>
  <c r="L349" i="4" s="1"/>
  <c r="J348" i="4"/>
  <c r="K348" i="4" s="1"/>
  <c r="L348" i="4" s="1"/>
  <c r="J347" i="4"/>
  <c r="K347" i="4" s="1"/>
  <c r="L347" i="4" s="1"/>
  <c r="F347" i="4"/>
  <c r="G347" i="4" s="1"/>
  <c r="F349" i="4"/>
  <c r="G349" i="4" s="1"/>
  <c r="F348" i="4"/>
  <c r="G348" i="4" s="1"/>
  <c r="G187" i="4"/>
  <c r="I187" i="4"/>
  <c r="F383" i="4"/>
  <c r="G383" i="4" s="1"/>
  <c r="F340" i="4"/>
  <c r="G340" i="4" s="1"/>
  <c r="J378" i="4"/>
  <c r="K378" i="4" s="1"/>
  <c r="L378" i="4" s="1"/>
  <c r="J374" i="4"/>
  <c r="K374" i="4" s="1"/>
  <c r="L374" i="4" s="1"/>
  <c r="J343" i="4"/>
  <c r="K343" i="4" s="1"/>
  <c r="L343" i="4" s="1"/>
  <c r="J377" i="4"/>
  <c r="K377" i="4" s="1"/>
  <c r="L377" i="4" s="1"/>
  <c r="J346" i="4"/>
  <c r="J342" i="4"/>
  <c r="K342" i="4" s="1"/>
  <c r="L342" i="4" s="1"/>
  <c r="J380" i="4"/>
  <c r="K380" i="4" s="1"/>
  <c r="L380" i="4" s="1"/>
  <c r="J376" i="4"/>
  <c r="K376" i="4" s="1"/>
  <c r="L376" i="4" s="1"/>
  <c r="J345" i="4"/>
  <c r="J341" i="4"/>
  <c r="K341" i="4" s="1"/>
  <c r="L341" i="4" s="1"/>
  <c r="J379" i="4"/>
  <c r="K379" i="4" s="1"/>
  <c r="L379" i="4" s="1"/>
  <c r="J375" i="4"/>
  <c r="K375" i="4" s="1"/>
  <c r="L375" i="4" s="1"/>
  <c r="J344" i="4"/>
  <c r="K344" i="4" s="1"/>
  <c r="L344" i="4" s="1"/>
  <c r="J340" i="4"/>
  <c r="K340" i="4" s="1"/>
  <c r="L340" i="4" s="1"/>
  <c r="C83" i="4"/>
  <c r="D83" i="4" s="1"/>
  <c r="A62" i="4"/>
  <c r="F87" i="3"/>
  <c r="D37" i="3"/>
  <c r="D103" i="3"/>
  <c r="C140" i="4"/>
  <c r="E140" i="4" s="1"/>
  <c r="C76" i="4" s="1"/>
  <c r="D76" i="4" s="1"/>
  <c r="G142" i="4"/>
  <c r="G146" i="4" s="1"/>
  <c r="A78" i="4" s="1"/>
  <c r="A76" i="4"/>
  <c r="C14" i="3"/>
  <c r="D14" i="3" s="1"/>
  <c r="D36" i="3"/>
  <c r="C134" i="3"/>
  <c r="C127" i="3"/>
  <c r="C158" i="3"/>
  <c r="C149" i="3"/>
  <c r="C142" i="3"/>
  <c r="C265" i="3"/>
  <c r="C119" i="3"/>
  <c r="C15" i="3"/>
  <c r="D15" i="3" s="1"/>
  <c r="K178" i="3"/>
  <c r="L178" i="3" s="1"/>
  <c r="M178" i="3" s="1"/>
  <c r="A25" i="3" s="1"/>
  <c r="J370" i="4"/>
  <c r="K370" i="4" s="1"/>
  <c r="L370" i="4" s="1"/>
  <c r="J366" i="4"/>
  <c r="K366" i="4" s="1"/>
  <c r="L366" i="4" s="1"/>
  <c r="J362" i="4"/>
  <c r="K362" i="4" s="1"/>
  <c r="L362" i="4" s="1"/>
  <c r="J358" i="4"/>
  <c r="K358" i="4" s="1"/>
  <c r="L358" i="4" s="1"/>
  <c r="J354" i="4"/>
  <c r="K354" i="4" s="1"/>
  <c r="L354" i="4" s="1"/>
  <c r="J350" i="4"/>
  <c r="K350" i="4" s="1"/>
  <c r="L350" i="4" s="1"/>
  <c r="J338" i="4"/>
  <c r="K338" i="4" s="1"/>
  <c r="L338" i="4" s="1"/>
  <c r="J334" i="4"/>
  <c r="K334" i="4" s="1"/>
  <c r="L334" i="4" s="1"/>
  <c r="J330" i="4"/>
  <c r="K330" i="4" s="1"/>
  <c r="L330" i="4" s="1"/>
  <c r="J326" i="4"/>
  <c r="K326" i="4" s="1"/>
  <c r="L326" i="4" s="1"/>
  <c r="J322" i="4"/>
  <c r="K322" i="4" s="1"/>
  <c r="L322" i="4" s="1"/>
  <c r="J318" i="4"/>
  <c r="K318" i="4" s="1"/>
  <c r="L318" i="4" s="1"/>
  <c r="J363" i="4"/>
  <c r="K363" i="4" s="1"/>
  <c r="L363" i="4" s="1"/>
  <c r="J355" i="4"/>
  <c r="K355" i="4" s="1"/>
  <c r="L355" i="4" s="1"/>
  <c r="J339" i="4"/>
  <c r="K339" i="4" s="1"/>
  <c r="L339" i="4" s="1"/>
  <c r="J327" i="4"/>
  <c r="K327" i="4" s="1"/>
  <c r="L327" i="4" s="1"/>
  <c r="J319" i="4"/>
  <c r="K319" i="4" s="1"/>
  <c r="L319" i="4" s="1"/>
  <c r="J373" i="4"/>
  <c r="K373" i="4" s="1"/>
  <c r="L373" i="4" s="1"/>
  <c r="J369" i="4"/>
  <c r="K369" i="4" s="1"/>
  <c r="L369" i="4" s="1"/>
  <c r="J365" i="4"/>
  <c r="K365" i="4" s="1"/>
  <c r="L365" i="4" s="1"/>
  <c r="J361" i="4"/>
  <c r="K361" i="4" s="1"/>
  <c r="L361" i="4" s="1"/>
  <c r="J357" i="4"/>
  <c r="K357" i="4" s="1"/>
  <c r="L357" i="4" s="1"/>
  <c r="J353" i="4"/>
  <c r="K353" i="4" s="1"/>
  <c r="L353" i="4" s="1"/>
  <c r="K346" i="4"/>
  <c r="L346" i="4" s="1"/>
  <c r="J337" i="4"/>
  <c r="K337" i="4" s="1"/>
  <c r="L337" i="4" s="1"/>
  <c r="J333" i="4"/>
  <c r="K333" i="4" s="1"/>
  <c r="L333" i="4" s="1"/>
  <c r="J329" i="4"/>
  <c r="K329" i="4" s="1"/>
  <c r="L329" i="4" s="1"/>
  <c r="J325" i="4"/>
  <c r="K325" i="4" s="1"/>
  <c r="L325" i="4" s="1"/>
  <c r="J321" i="4"/>
  <c r="K321" i="4" s="1"/>
  <c r="L321" i="4" s="1"/>
  <c r="J317" i="4"/>
  <c r="K317" i="4" s="1"/>
  <c r="L317" i="4" s="1"/>
  <c r="J367" i="4"/>
  <c r="K367" i="4" s="1"/>
  <c r="L367" i="4" s="1"/>
  <c r="J351" i="4"/>
  <c r="K351" i="4" s="1"/>
  <c r="L351" i="4" s="1"/>
  <c r="J331" i="4"/>
  <c r="K331" i="4" s="1"/>
  <c r="L331" i="4" s="1"/>
  <c r="J372" i="4"/>
  <c r="K372" i="4" s="1"/>
  <c r="L372" i="4" s="1"/>
  <c r="J368" i="4"/>
  <c r="K368" i="4" s="1"/>
  <c r="L368" i="4" s="1"/>
  <c r="J364" i="4"/>
  <c r="K364" i="4" s="1"/>
  <c r="L364" i="4" s="1"/>
  <c r="J360" i="4"/>
  <c r="K360" i="4" s="1"/>
  <c r="L360" i="4" s="1"/>
  <c r="J356" i="4"/>
  <c r="K356" i="4" s="1"/>
  <c r="L356" i="4" s="1"/>
  <c r="J352" i="4"/>
  <c r="K352" i="4" s="1"/>
  <c r="L352" i="4" s="1"/>
  <c r="K345" i="4"/>
  <c r="L345" i="4" s="1"/>
  <c r="J336" i="4"/>
  <c r="K336" i="4" s="1"/>
  <c r="L336" i="4" s="1"/>
  <c r="J332" i="4"/>
  <c r="K332" i="4" s="1"/>
  <c r="L332" i="4" s="1"/>
  <c r="J328" i="4"/>
  <c r="K328" i="4" s="1"/>
  <c r="L328" i="4" s="1"/>
  <c r="J324" i="4"/>
  <c r="K324" i="4" s="1"/>
  <c r="L324" i="4" s="1"/>
  <c r="J320" i="4"/>
  <c r="K320" i="4" s="1"/>
  <c r="L320" i="4" s="1"/>
  <c r="J316" i="4"/>
  <c r="K316" i="4" s="1"/>
  <c r="L316" i="4" s="1"/>
  <c r="J371" i="4"/>
  <c r="K371" i="4" s="1"/>
  <c r="L371" i="4" s="1"/>
  <c r="J359" i="4"/>
  <c r="K359" i="4" s="1"/>
  <c r="L359" i="4" s="1"/>
  <c r="J335" i="4"/>
  <c r="K335" i="4" s="1"/>
  <c r="L335" i="4" s="1"/>
  <c r="J323" i="4"/>
  <c r="K323" i="4" s="1"/>
  <c r="L323" i="4" s="1"/>
  <c r="D84" i="4"/>
  <c r="F377" i="4"/>
  <c r="G377" i="4" s="1"/>
  <c r="F318" i="4"/>
  <c r="G318" i="4" s="1"/>
  <c r="F379" i="4"/>
  <c r="G379" i="4" s="1"/>
  <c r="F396" i="4"/>
  <c r="G396" i="4" s="1"/>
  <c r="F355" i="4"/>
  <c r="G355" i="4" s="1"/>
  <c r="F324" i="4"/>
  <c r="G324" i="4" s="1"/>
  <c r="F343" i="4"/>
  <c r="G343" i="4" s="1"/>
  <c r="I171" i="4"/>
  <c r="F168" i="4"/>
  <c r="I168" i="4" s="1"/>
  <c r="C169" i="4"/>
  <c r="F169" i="4" s="1"/>
  <c r="G169" i="4" s="1"/>
  <c r="C170" i="4"/>
  <c r="F170" i="4" s="1"/>
  <c r="I170" i="4" s="1"/>
  <c r="F334" i="4"/>
  <c r="G334" i="4" s="1"/>
  <c r="F326" i="4"/>
  <c r="G326" i="4" s="1"/>
  <c r="E126" i="4"/>
  <c r="C62" i="4" s="1"/>
  <c r="D62" i="4" s="1"/>
  <c r="F345" i="4"/>
  <c r="G345" i="4" s="1"/>
  <c r="F330" i="4"/>
  <c r="G330" i="4" s="1"/>
  <c r="F322" i="4"/>
  <c r="G322" i="4" s="1"/>
  <c r="F336" i="4"/>
  <c r="G336" i="4" s="1"/>
  <c r="F328" i="4"/>
  <c r="G328" i="4" s="1"/>
  <c r="F320" i="4"/>
  <c r="G320" i="4" s="1"/>
  <c r="F363" i="4"/>
  <c r="G363" i="4" s="1"/>
  <c r="F356" i="4"/>
  <c r="G356" i="4" s="1"/>
  <c r="F338" i="4"/>
  <c r="G338" i="4" s="1"/>
  <c r="F375" i="4"/>
  <c r="G375" i="4" s="1"/>
  <c r="F321" i="4"/>
  <c r="G321" i="4" s="1"/>
  <c r="F329" i="4"/>
  <c r="G329" i="4" s="1"/>
  <c r="F341" i="4"/>
  <c r="G341" i="4" s="1"/>
  <c r="F381" i="4"/>
  <c r="G381" i="4" s="1"/>
  <c r="F362" i="4"/>
  <c r="G362" i="4" s="1"/>
  <c r="F392" i="4"/>
  <c r="G392" i="4" s="1"/>
  <c r="F339" i="4"/>
  <c r="G339" i="4" s="1"/>
  <c r="F351" i="4"/>
  <c r="G351" i="4" s="1"/>
  <c r="F359" i="4"/>
  <c r="G359" i="4" s="1"/>
  <c r="F367" i="4"/>
  <c r="G367" i="4" s="1"/>
  <c r="F376" i="4"/>
  <c r="G376" i="4" s="1"/>
  <c r="F385" i="4"/>
  <c r="G385" i="4" s="1"/>
  <c r="F393" i="4"/>
  <c r="G393" i="4" s="1"/>
  <c r="F332" i="4"/>
  <c r="G332" i="4" s="1"/>
  <c r="F350" i="4"/>
  <c r="G350" i="4" s="1"/>
  <c r="F384" i="4"/>
  <c r="G384" i="4" s="1"/>
  <c r="F323" i="4"/>
  <c r="G323" i="4" s="1"/>
  <c r="F331" i="4"/>
  <c r="G331" i="4" s="1"/>
  <c r="F352" i="4"/>
  <c r="G352" i="4" s="1"/>
  <c r="F390" i="4"/>
  <c r="G390" i="4" s="1"/>
  <c r="F370" i="4"/>
  <c r="G370" i="4" s="1"/>
  <c r="F394" i="4"/>
  <c r="G394" i="4" s="1"/>
  <c r="F342" i="4"/>
  <c r="G342" i="4" s="1"/>
  <c r="F353" i="4"/>
  <c r="G353" i="4" s="1"/>
  <c r="F361" i="4"/>
  <c r="G361" i="4" s="1"/>
  <c r="F369" i="4"/>
  <c r="G369" i="4" s="1"/>
  <c r="F378" i="4"/>
  <c r="G378" i="4" s="1"/>
  <c r="F387" i="4"/>
  <c r="G387" i="4" s="1"/>
  <c r="F395" i="4"/>
  <c r="G395" i="4" s="1"/>
  <c r="G217" i="4"/>
  <c r="G221" i="4" s="1"/>
  <c r="A110" i="4" s="1"/>
  <c r="B110" i="4" s="1"/>
  <c r="F221" i="4"/>
  <c r="C110" i="4" s="1"/>
  <c r="F156" i="4"/>
  <c r="C159" i="4"/>
  <c r="F159" i="4" s="1"/>
  <c r="C157" i="4"/>
  <c r="F157" i="4" s="1"/>
  <c r="C162" i="4"/>
  <c r="F162" i="4" s="1"/>
  <c r="C160" i="4"/>
  <c r="F160" i="4" s="1"/>
  <c r="C158" i="4"/>
  <c r="F158" i="4" s="1"/>
  <c r="C161" i="4"/>
  <c r="F161" i="4" s="1"/>
  <c r="F372" i="4"/>
  <c r="G372" i="4" s="1"/>
  <c r="R236" i="4"/>
  <c r="L235" i="4"/>
  <c r="M235" i="4" s="1"/>
  <c r="L234" i="4"/>
  <c r="F233" i="4"/>
  <c r="L237" i="4"/>
  <c r="R234" i="4"/>
  <c r="C225" i="4"/>
  <c r="F224" i="4"/>
  <c r="F358" i="4"/>
  <c r="G358" i="4" s="1"/>
  <c r="F317" i="4"/>
  <c r="G317" i="4" s="1"/>
  <c r="F325" i="4"/>
  <c r="G325" i="4" s="1"/>
  <c r="F333" i="4"/>
  <c r="G333" i="4" s="1"/>
  <c r="F360" i="4"/>
  <c r="G360" i="4" s="1"/>
  <c r="F344" i="4"/>
  <c r="G344" i="4" s="1"/>
  <c r="F371" i="4"/>
  <c r="G371" i="4" s="1"/>
  <c r="F380" i="4"/>
  <c r="G380" i="4" s="1"/>
  <c r="F389" i="4"/>
  <c r="G389" i="4" s="1"/>
  <c r="F397" i="4"/>
  <c r="G397" i="4" s="1"/>
  <c r="F206" i="4"/>
  <c r="C209" i="4"/>
  <c r="F209" i="4" s="1"/>
  <c r="C208" i="4"/>
  <c r="F208" i="4" s="1"/>
  <c r="C207" i="4"/>
  <c r="F207" i="4" s="1"/>
  <c r="F386" i="4"/>
  <c r="G386" i="4" s="1"/>
  <c r="F316" i="4"/>
  <c r="G316" i="4" s="1"/>
  <c r="F366" i="4"/>
  <c r="G366" i="4" s="1"/>
  <c r="F319" i="4"/>
  <c r="G319" i="4" s="1"/>
  <c r="F327" i="4"/>
  <c r="G327" i="4" s="1"/>
  <c r="F335" i="4"/>
  <c r="G335" i="4" s="1"/>
  <c r="F368" i="4"/>
  <c r="G368" i="4" s="1"/>
  <c r="F354" i="4"/>
  <c r="G354" i="4" s="1"/>
  <c r="F388" i="4"/>
  <c r="G388" i="4" s="1"/>
  <c r="F337" i="4"/>
  <c r="G337" i="4" s="1"/>
  <c r="F346" i="4"/>
  <c r="G346" i="4" s="1"/>
  <c r="F357" i="4"/>
  <c r="G357" i="4" s="1"/>
  <c r="F365" i="4"/>
  <c r="G365" i="4" s="1"/>
  <c r="F373" i="4"/>
  <c r="G373" i="4" s="1"/>
  <c r="F382" i="4"/>
  <c r="G382" i="4" s="1"/>
  <c r="F391" i="4"/>
  <c r="G391" i="4" s="1"/>
  <c r="F364" i="4"/>
  <c r="G364" i="4" s="1"/>
  <c r="F174" i="4"/>
  <c r="C180" i="4"/>
  <c r="F180" i="4" s="1"/>
  <c r="C179" i="4"/>
  <c r="F179" i="4" s="1"/>
  <c r="C178" i="4"/>
  <c r="F178" i="4" s="1"/>
  <c r="C177" i="4"/>
  <c r="F177" i="4" s="1"/>
  <c r="C176" i="4"/>
  <c r="C175" i="4"/>
  <c r="F175" i="4" s="1"/>
  <c r="D92" i="1"/>
  <c r="C15" i="1" s="1"/>
  <c r="D15" i="1" s="1"/>
  <c r="F96" i="1" s="1"/>
  <c r="C92" i="1"/>
  <c r="I189" i="4" l="1"/>
  <c r="I201" i="4"/>
  <c r="G201" i="4"/>
  <c r="G188" i="4"/>
  <c r="G190" i="4"/>
  <c r="I186" i="4"/>
  <c r="I184" i="4"/>
  <c r="G185" i="4"/>
  <c r="C80" i="4"/>
  <c r="D80" i="4" s="1"/>
  <c r="E144" i="4"/>
  <c r="F191" i="4"/>
  <c r="C16" i="1"/>
  <c r="D16" i="1" s="1"/>
  <c r="C188" i="1"/>
  <c r="C187" i="1"/>
  <c r="C189" i="1"/>
  <c r="C190" i="1"/>
  <c r="C191" i="1"/>
  <c r="F176" i="4"/>
  <c r="I176" i="4" s="1"/>
  <c r="F92" i="1"/>
  <c r="C17" i="1" s="1"/>
  <c r="A143" i="4"/>
  <c r="B143" i="4" s="1"/>
  <c r="C142" i="4"/>
  <c r="E142" i="4" s="1"/>
  <c r="C78" i="4" s="1"/>
  <c r="D78" i="4" s="1"/>
  <c r="D40" i="1"/>
  <c r="D108" i="1"/>
  <c r="D39" i="1"/>
  <c r="C129" i="3"/>
  <c r="F129" i="3" s="1"/>
  <c r="G129" i="3" s="1"/>
  <c r="F127" i="3"/>
  <c r="G127" i="3" s="1"/>
  <c r="C128" i="3"/>
  <c r="F128" i="3" s="1"/>
  <c r="G128" i="3" s="1"/>
  <c r="C130" i="3"/>
  <c r="F130" i="3" s="1"/>
  <c r="G130" i="3" s="1"/>
  <c r="C155" i="3"/>
  <c r="F155" i="3" s="1"/>
  <c r="G155" i="3" s="1"/>
  <c r="C152" i="3"/>
  <c r="F152" i="3" s="1"/>
  <c r="G152" i="3" s="1"/>
  <c r="C154" i="3"/>
  <c r="F154" i="3" s="1"/>
  <c r="G154" i="3" s="1"/>
  <c r="C150" i="3"/>
  <c r="F150" i="3" s="1"/>
  <c r="G150" i="3" s="1"/>
  <c r="C151" i="3"/>
  <c r="F151" i="3" s="1"/>
  <c r="G151" i="3" s="1"/>
  <c r="C153" i="3"/>
  <c r="F153" i="3" s="1"/>
  <c r="G153" i="3" s="1"/>
  <c r="F149" i="3"/>
  <c r="G149" i="3" s="1"/>
  <c r="C160" i="3"/>
  <c r="F160" i="3" s="1"/>
  <c r="G160" i="3" s="1"/>
  <c r="C161" i="3"/>
  <c r="F161" i="3" s="1"/>
  <c r="G161" i="3" s="1"/>
  <c r="C159" i="3"/>
  <c r="F159" i="3" s="1"/>
  <c r="G159" i="3" s="1"/>
  <c r="F158" i="3"/>
  <c r="G158" i="3" s="1"/>
  <c r="C145" i="3"/>
  <c r="F145" i="3" s="1"/>
  <c r="G145" i="3" s="1"/>
  <c r="F142" i="3"/>
  <c r="G142" i="3" s="1"/>
  <c r="C144" i="3"/>
  <c r="F144" i="3" s="1"/>
  <c r="G144" i="3" s="1"/>
  <c r="C143" i="3"/>
  <c r="F143" i="3" s="1"/>
  <c r="G143" i="3" s="1"/>
  <c r="C136" i="3"/>
  <c r="F136" i="3" s="1"/>
  <c r="G136" i="3" s="1"/>
  <c r="C135" i="3"/>
  <c r="F135" i="3" s="1"/>
  <c r="G135" i="3" s="1"/>
  <c r="C139" i="3"/>
  <c r="F139" i="3" s="1"/>
  <c r="G139" i="3" s="1"/>
  <c r="C140" i="3"/>
  <c r="F140" i="3" s="1"/>
  <c r="G140" i="3" s="1"/>
  <c r="C137" i="3"/>
  <c r="F137" i="3" s="1"/>
  <c r="G137" i="3" s="1"/>
  <c r="F134" i="3"/>
  <c r="G134" i="3" s="1"/>
  <c r="C138" i="3"/>
  <c r="F138" i="3" s="1"/>
  <c r="G138" i="3" s="1"/>
  <c r="K140" i="1"/>
  <c r="L140" i="1" s="1"/>
  <c r="M140" i="1" s="1"/>
  <c r="A26" i="1" s="1"/>
  <c r="C227" i="1"/>
  <c r="G170" i="4"/>
  <c r="L381" i="4"/>
  <c r="D139" i="4" s="1"/>
  <c r="A139" i="4" s="1"/>
  <c r="B139" i="4" s="1"/>
  <c r="G168" i="4"/>
  <c r="F172" i="4"/>
  <c r="I169" i="4"/>
  <c r="I172" i="4" s="1"/>
  <c r="G174" i="4"/>
  <c r="I174" i="4"/>
  <c r="G398" i="4"/>
  <c r="D138" i="4" s="1"/>
  <c r="A138" i="4" s="1"/>
  <c r="B138" i="4" s="1"/>
  <c r="I178" i="4"/>
  <c r="G178" i="4"/>
  <c r="O237" i="4"/>
  <c r="O238" i="4" s="1"/>
  <c r="M237" i="4"/>
  <c r="U236" i="4"/>
  <c r="U238" i="4" s="1"/>
  <c r="S236" i="4"/>
  <c r="I160" i="4"/>
  <c r="G160" i="4"/>
  <c r="I175" i="4"/>
  <c r="G175" i="4"/>
  <c r="G179" i="4"/>
  <c r="I179" i="4"/>
  <c r="G209" i="4"/>
  <c r="I209" i="4"/>
  <c r="I224" i="4"/>
  <c r="G224" i="4"/>
  <c r="I233" i="4"/>
  <c r="I238" i="4" s="1"/>
  <c r="G233" i="4"/>
  <c r="G238" i="4" s="1"/>
  <c r="A112" i="4" s="1"/>
  <c r="B112" i="4" s="1"/>
  <c r="F238" i="4"/>
  <c r="C112" i="4" s="1"/>
  <c r="L166" i="4" s="1"/>
  <c r="M166" i="4" s="1"/>
  <c r="I162" i="4"/>
  <c r="G162" i="4"/>
  <c r="G176" i="4"/>
  <c r="G206" i="4"/>
  <c r="F210" i="4"/>
  <c r="I206" i="4"/>
  <c r="C226" i="4"/>
  <c r="F225" i="4"/>
  <c r="L238" i="4"/>
  <c r="C113" i="4" s="1"/>
  <c r="M234" i="4"/>
  <c r="I161" i="4"/>
  <c r="G161" i="4"/>
  <c r="I157" i="4"/>
  <c r="G157" i="4"/>
  <c r="A46" i="4"/>
  <c r="E110" i="4"/>
  <c r="C46" i="4" s="1"/>
  <c r="D46" i="4" s="1"/>
  <c r="G177" i="4"/>
  <c r="I177" i="4"/>
  <c r="G207" i="4"/>
  <c r="I207" i="4"/>
  <c r="S234" i="4"/>
  <c r="R238" i="4"/>
  <c r="C114" i="4" s="1"/>
  <c r="I158" i="4"/>
  <c r="G158" i="4"/>
  <c r="I159" i="4"/>
  <c r="G159" i="4"/>
  <c r="G180" i="4"/>
  <c r="I180" i="4"/>
  <c r="G208" i="4"/>
  <c r="I208" i="4"/>
  <c r="F163" i="4"/>
  <c r="I156" i="4"/>
  <c r="G156" i="4"/>
  <c r="A111" i="3"/>
  <c r="B111" i="3" s="1"/>
  <c r="A107" i="3"/>
  <c r="B107" i="3" s="1"/>
  <c r="A106" i="3"/>
  <c r="B106" i="3" s="1"/>
  <c r="A105" i="3"/>
  <c r="B105" i="3" s="1"/>
  <c r="A102" i="3"/>
  <c r="B102" i="3" s="1"/>
  <c r="A101" i="3"/>
  <c r="B101" i="3" s="1"/>
  <c r="A100" i="3"/>
  <c r="B100" i="3" s="1"/>
  <c r="A96" i="3"/>
  <c r="B96" i="3" s="1"/>
  <c r="A95" i="3"/>
  <c r="B95" i="3" s="1"/>
  <c r="A123" i="1"/>
  <c r="B123" i="1" s="1"/>
  <c r="A122" i="1"/>
  <c r="B122" i="1" s="1"/>
  <c r="A121" i="1"/>
  <c r="B121" i="1" s="1"/>
  <c r="A120" i="1"/>
  <c r="B120" i="1" s="1"/>
  <c r="A113" i="1"/>
  <c r="B113" i="1" s="1"/>
  <c r="A110" i="1"/>
  <c r="B110" i="1" s="1"/>
  <c r="A109" i="1"/>
  <c r="B109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C108" i="3"/>
  <c r="C114" i="1"/>
  <c r="G191" i="4" l="1"/>
  <c r="A109" i="4" s="1"/>
  <c r="I191" i="4"/>
  <c r="F181" i="4"/>
  <c r="C143" i="4"/>
  <c r="E143" i="4" s="1"/>
  <c r="B78" i="4"/>
  <c r="S238" i="4"/>
  <c r="A114" i="4" s="1"/>
  <c r="B114" i="4" s="1"/>
  <c r="E122" i="1"/>
  <c r="C68" i="1" s="1"/>
  <c r="E123" i="1"/>
  <c r="C69" i="1" s="1"/>
  <c r="E120" i="1"/>
  <c r="E121" i="1"/>
  <c r="C67" i="1" s="1"/>
  <c r="R240" i="4"/>
  <c r="G131" i="3"/>
  <c r="G172" i="4"/>
  <c r="G162" i="3"/>
  <c r="G156" i="3"/>
  <c r="G141" i="3"/>
  <c r="G146" i="3"/>
  <c r="E139" i="4"/>
  <c r="C75" i="4" s="1"/>
  <c r="D75" i="4" s="1"/>
  <c r="A75" i="4"/>
  <c r="C108" i="4"/>
  <c r="M238" i="4"/>
  <c r="A113" i="4" s="1"/>
  <c r="B113" i="4" s="1"/>
  <c r="I210" i="4"/>
  <c r="I181" i="4"/>
  <c r="G163" i="4"/>
  <c r="A48" i="4"/>
  <c r="E112" i="4"/>
  <c r="C48" i="4" s="1"/>
  <c r="D48" i="4" s="1"/>
  <c r="I163" i="4"/>
  <c r="E164" i="4" s="1"/>
  <c r="G225" i="4"/>
  <c r="I225" i="4"/>
  <c r="G210" i="4"/>
  <c r="G181" i="4"/>
  <c r="F226" i="4"/>
  <c r="C227" i="4"/>
  <c r="E138" i="4"/>
  <c r="C74" i="4" s="1"/>
  <c r="D74" i="4" s="1"/>
  <c r="A74" i="4"/>
  <c r="C380" i="3"/>
  <c r="E293" i="3"/>
  <c r="D293" i="3"/>
  <c r="C293" i="3"/>
  <c r="A291" i="3"/>
  <c r="A290" i="3"/>
  <c r="A285" i="3"/>
  <c r="A284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C106" i="3"/>
  <c r="E106" i="3" s="1"/>
  <c r="C56" i="3" s="1"/>
  <c r="C105" i="3"/>
  <c r="E105" i="3" s="1"/>
  <c r="C55" i="3" s="1"/>
  <c r="C100" i="3"/>
  <c r="E100" i="3" s="1"/>
  <c r="C50" i="3" s="1"/>
  <c r="C96" i="3"/>
  <c r="E96" i="3" s="1"/>
  <c r="C46" i="3" s="1"/>
  <c r="C95" i="3"/>
  <c r="E95" i="3" s="1"/>
  <c r="C45" i="3" s="1"/>
  <c r="C258" i="4" l="1"/>
  <c r="C131" i="4" s="1"/>
  <c r="E131" i="4" s="1"/>
  <c r="C67" i="4" s="1"/>
  <c r="D67" i="4" s="1"/>
  <c r="C265" i="4"/>
  <c r="C270" i="4"/>
  <c r="C125" i="4" s="1"/>
  <c r="E125" i="4" s="1"/>
  <c r="C61" i="4" s="1"/>
  <c r="D61" i="4" s="1"/>
  <c r="B109" i="4"/>
  <c r="C371" i="3"/>
  <c r="C298" i="3"/>
  <c r="C353" i="3"/>
  <c r="C309" i="3"/>
  <c r="C342" i="3"/>
  <c r="C362" i="3"/>
  <c r="C331" i="3"/>
  <c r="C320" i="3"/>
  <c r="D326" i="3"/>
  <c r="D371" i="3"/>
  <c r="D331" i="3"/>
  <c r="D298" i="3"/>
  <c r="D353" i="3"/>
  <c r="D342" i="3"/>
  <c r="D309" i="3"/>
  <c r="D362" i="3"/>
  <c r="D320" i="3"/>
  <c r="E377" i="3"/>
  <c r="E373" i="3"/>
  <c r="E346" i="3"/>
  <c r="E342" i="3"/>
  <c r="E334" i="3"/>
  <c r="E313" i="3"/>
  <c r="E309" i="3"/>
  <c r="E304" i="3"/>
  <c r="E300" i="3"/>
  <c r="E303" i="3"/>
  <c r="E343" i="3"/>
  <c r="E331" i="3"/>
  <c r="E301" i="3"/>
  <c r="E376" i="3"/>
  <c r="E372" i="3"/>
  <c r="E345" i="3"/>
  <c r="E337" i="3"/>
  <c r="E333" i="3"/>
  <c r="E312" i="3"/>
  <c r="E299" i="3"/>
  <c r="E314" i="3"/>
  <c r="E375" i="3"/>
  <c r="E371" i="3"/>
  <c r="E348" i="3"/>
  <c r="E344" i="3"/>
  <c r="E336" i="3"/>
  <c r="E332" i="3"/>
  <c r="E315" i="3"/>
  <c r="E311" i="3"/>
  <c r="E302" i="3"/>
  <c r="E298" i="3"/>
  <c r="E347" i="3"/>
  <c r="E335" i="3"/>
  <c r="E310" i="3"/>
  <c r="E374" i="3"/>
  <c r="E339" i="3"/>
  <c r="E365" i="3"/>
  <c r="E357" i="3"/>
  <c r="E353" i="3"/>
  <c r="E325" i="3"/>
  <c r="E321" i="3"/>
  <c r="E368" i="3"/>
  <c r="E364" i="3"/>
  <c r="E356" i="3"/>
  <c r="E324" i="3"/>
  <c r="E320" i="3"/>
  <c r="E367" i="3"/>
  <c r="E363" i="3"/>
  <c r="E359" i="3"/>
  <c r="E355" i="3"/>
  <c r="E323" i="3"/>
  <c r="E366" i="3"/>
  <c r="E362" i="3"/>
  <c r="E358" i="3"/>
  <c r="E354" i="3"/>
  <c r="E326" i="3"/>
  <c r="E322" i="3"/>
  <c r="C318" i="3"/>
  <c r="C370" i="3"/>
  <c r="C375" i="3"/>
  <c r="C367" i="3"/>
  <c r="C372" i="3"/>
  <c r="C376" i="3"/>
  <c r="C368" i="3"/>
  <c r="C373" i="3"/>
  <c r="C377" i="3"/>
  <c r="C369" i="3"/>
  <c r="C374" i="3"/>
  <c r="A49" i="4"/>
  <c r="E114" i="4"/>
  <c r="C50" i="4" s="1"/>
  <c r="D50" i="4" s="1"/>
  <c r="A50" i="4"/>
  <c r="A113" i="3"/>
  <c r="B113" i="3" s="1"/>
  <c r="C124" i="4"/>
  <c r="E124" i="4" s="1"/>
  <c r="C60" i="4" s="1"/>
  <c r="D60" i="4" s="1"/>
  <c r="D380" i="3"/>
  <c r="B109" i="3" s="1"/>
  <c r="C147" i="3"/>
  <c r="C163" i="3"/>
  <c r="A114" i="3"/>
  <c r="B114" i="3" s="1"/>
  <c r="C124" i="3"/>
  <c r="F124" i="3" s="1"/>
  <c r="G124" i="3" s="1"/>
  <c r="C121" i="3"/>
  <c r="F121" i="3" s="1"/>
  <c r="G121" i="3" s="1"/>
  <c r="C123" i="3"/>
  <c r="F123" i="3" s="1"/>
  <c r="G123" i="3" s="1"/>
  <c r="C125" i="3"/>
  <c r="F125" i="3" s="1"/>
  <c r="G125" i="3" s="1"/>
  <c r="F119" i="3"/>
  <c r="G119" i="3" s="1"/>
  <c r="C120" i="3"/>
  <c r="F120" i="3" s="1"/>
  <c r="C122" i="3"/>
  <c r="F122" i="3" s="1"/>
  <c r="G122" i="3" s="1"/>
  <c r="E113" i="4"/>
  <c r="C49" i="4" s="1"/>
  <c r="D49" i="4" s="1"/>
  <c r="C182" i="4"/>
  <c r="A108" i="4" s="1"/>
  <c r="B108" i="4" s="1"/>
  <c r="J182" i="4"/>
  <c r="C127" i="4"/>
  <c r="E127" i="4" s="1"/>
  <c r="C63" i="4" s="1"/>
  <c r="D63" i="4" s="1"/>
  <c r="J164" i="4"/>
  <c r="C164" i="4"/>
  <c r="C228" i="4"/>
  <c r="F227" i="4"/>
  <c r="G226" i="4"/>
  <c r="I226" i="4"/>
  <c r="D310" i="3"/>
  <c r="D296" i="3"/>
  <c r="D301" i="3"/>
  <c r="D325" i="3"/>
  <c r="A112" i="3"/>
  <c r="B112" i="3" s="1"/>
  <c r="C307" i="3"/>
  <c r="C299" i="3"/>
  <c r="C316" i="3"/>
  <c r="C327" i="3"/>
  <c r="E295" i="3"/>
  <c r="E297" i="3"/>
  <c r="E330" i="3"/>
  <c r="E341" i="3"/>
  <c r="E306" i="3"/>
  <c r="E308" i="3"/>
  <c r="C296" i="3"/>
  <c r="D299" i="3"/>
  <c r="C305" i="3"/>
  <c r="D307" i="3"/>
  <c r="C314" i="3"/>
  <c r="D316" i="3"/>
  <c r="C366" i="3"/>
  <c r="C364" i="3"/>
  <c r="C361" i="3"/>
  <c r="C359" i="3"/>
  <c r="C357" i="3"/>
  <c r="C355" i="3"/>
  <c r="C352" i="3"/>
  <c r="C350" i="3"/>
  <c r="C348" i="3"/>
  <c r="C346" i="3"/>
  <c r="C344" i="3"/>
  <c r="C341" i="3"/>
  <c r="C339" i="3"/>
  <c r="C337" i="3"/>
  <c r="C335" i="3"/>
  <c r="C333" i="3"/>
  <c r="C330" i="3"/>
  <c r="C328" i="3"/>
  <c r="C326" i="3"/>
  <c r="C324" i="3"/>
  <c r="C322" i="3"/>
  <c r="C319" i="3"/>
  <c r="C317" i="3"/>
  <c r="C363" i="3"/>
  <c r="C354" i="3"/>
  <c r="C345" i="3"/>
  <c r="C336" i="3"/>
  <c r="C365" i="3"/>
  <c r="C356" i="3"/>
  <c r="C343" i="3"/>
  <c r="C334" i="3"/>
  <c r="C325" i="3"/>
  <c r="C358" i="3"/>
  <c r="C349" i="3"/>
  <c r="C340" i="3"/>
  <c r="C332" i="3"/>
  <c r="C323" i="3"/>
  <c r="C360" i="3"/>
  <c r="C351" i="3"/>
  <c r="C347" i="3"/>
  <c r="C338" i="3"/>
  <c r="C329" i="3"/>
  <c r="C321" i="3"/>
  <c r="C315" i="3"/>
  <c r="C313" i="3"/>
  <c r="C311" i="3"/>
  <c r="C308" i="3"/>
  <c r="C306" i="3"/>
  <c r="C304" i="3"/>
  <c r="C302" i="3"/>
  <c r="C300" i="3"/>
  <c r="C297" i="3"/>
  <c r="C295" i="3"/>
  <c r="C294" i="3"/>
  <c r="C303" i="3"/>
  <c r="D305" i="3"/>
  <c r="C312" i="3"/>
  <c r="D314" i="3"/>
  <c r="D377" i="3"/>
  <c r="D375" i="3"/>
  <c r="D373" i="3"/>
  <c r="D370" i="3"/>
  <c r="D368" i="3"/>
  <c r="D366" i="3"/>
  <c r="D364" i="3"/>
  <c r="D361" i="3"/>
  <c r="D359" i="3"/>
  <c r="D357" i="3"/>
  <c r="D355" i="3"/>
  <c r="D352" i="3"/>
  <c r="D350" i="3"/>
  <c r="D374" i="3"/>
  <c r="D365" i="3"/>
  <c r="D356" i="3"/>
  <c r="D344" i="3"/>
  <c r="D343" i="3"/>
  <c r="D335" i="3"/>
  <c r="D334" i="3"/>
  <c r="D376" i="3"/>
  <c r="D367" i="3"/>
  <c r="D358" i="3"/>
  <c r="D349" i="3"/>
  <c r="D341" i="3"/>
  <c r="D340" i="3"/>
  <c r="D333" i="3"/>
  <c r="D332" i="3"/>
  <c r="D324" i="3"/>
  <c r="D323" i="3"/>
  <c r="D369" i="3"/>
  <c r="D360" i="3"/>
  <c r="D351" i="3"/>
  <c r="D348" i="3"/>
  <c r="D347" i="3"/>
  <c r="D339" i="3"/>
  <c r="D338" i="3"/>
  <c r="D330" i="3"/>
  <c r="D329" i="3"/>
  <c r="D322" i="3"/>
  <c r="D321" i="3"/>
  <c r="D315" i="3"/>
  <c r="D313" i="3"/>
  <c r="D311" i="3"/>
  <c r="D308" i="3"/>
  <c r="D306" i="3"/>
  <c r="D304" i="3"/>
  <c r="D302" i="3"/>
  <c r="D300" i="3"/>
  <c r="D297" i="3"/>
  <c r="D295" i="3"/>
  <c r="D372" i="3"/>
  <c r="D363" i="3"/>
  <c r="D354" i="3"/>
  <c r="D346" i="3"/>
  <c r="D345" i="3"/>
  <c r="D337" i="3"/>
  <c r="D336" i="3"/>
  <c r="D328" i="3"/>
  <c r="D327" i="3"/>
  <c r="D319" i="3"/>
  <c r="D318" i="3"/>
  <c r="D294" i="3"/>
  <c r="C301" i="3"/>
  <c r="D303" i="3"/>
  <c r="C310" i="3"/>
  <c r="D312" i="3"/>
  <c r="D317" i="3"/>
  <c r="E369" i="3"/>
  <c r="E360" i="3"/>
  <c r="E351" i="3"/>
  <c r="E349" i="3"/>
  <c r="E340" i="3"/>
  <c r="E338" i="3"/>
  <c r="E329" i="3"/>
  <c r="E327" i="3"/>
  <c r="E318" i="3"/>
  <c r="E316" i="3"/>
  <c r="E294" i="3"/>
  <c r="E296" i="3"/>
  <c r="E305" i="3"/>
  <c r="E307" i="3"/>
  <c r="E317" i="3"/>
  <c r="E352" i="3"/>
  <c r="E361" i="3"/>
  <c r="E370" i="3"/>
  <c r="E319" i="3"/>
  <c r="E328" i="3"/>
  <c r="E350" i="3"/>
  <c r="F320" i="3" l="1"/>
  <c r="G320" i="3" s="1"/>
  <c r="F298" i="3"/>
  <c r="G298" i="3" s="1"/>
  <c r="F371" i="3"/>
  <c r="G371" i="3" s="1"/>
  <c r="F353" i="3"/>
  <c r="G353" i="3" s="1"/>
  <c r="F309" i="3"/>
  <c r="G309" i="3" s="1"/>
  <c r="F342" i="3"/>
  <c r="G342" i="3" s="1"/>
  <c r="F331" i="3"/>
  <c r="G331" i="3" s="1"/>
  <c r="F362" i="3"/>
  <c r="G362" i="3" s="1"/>
  <c r="A44" i="4"/>
  <c r="C109" i="3"/>
  <c r="C121" i="4"/>
  <c r="E121" i="4" s="1"/>
  <c r="C57" i="4" s="1"/>
  <c r="D57" i="4" s="1"/>
  <c r="C122" i="4"/>
  <c r="E122" i="4" s="1"/>
  <c r="C58" i="4" s="1"/>
  <c r="D58" i="4" s="1"/>
  <c r="G120" i="3"/>
  <c r="G126" i="3" s="1"/>
  <c r="C132" i="3" s="1"/>
  <c r="F126" i="3"/>
  <c r="E109" i="4"/>
  <c r="C45" i="4" s="1"/>
  <c r="D45" i="4" s="1"/>
  <c r="E108" i="4"/>
  <c r="C44" i="4" s="1"/>
  <c r="D44" i="4" s="1"/>
  <c r="A45" i="4"/>
  <c r="G227" i="4"/>
  <c r="I227" i="4"/>
  <c r="C229" i="4"/>
  <c r="F229" i="4" s="1"/>
  <c r="F228" i="4"/>
  <c r="F299" i="3"/>
  <c r="G299" i="3" s="1"/>
  <c r="F307" i="3"/>
  <c r="G307" i="3" s="1"/>
  <c r="F295" i="3"/>
  <c r="G295" i="3" s="1"/>
  <c r="F313" i="3"/>
  <c r="G313" i="3" s="1"/>
  <c r="F304" i="3"/>
  <c r="G304" i="3" s="1"/>
  <c r="F302" i="3"/>
  <c r="G302" i="3" s="1"/>
  <c r="F369" i="3"/>
  <c r="G369" i="3" s="1"/>
  <c r="F325" i="3"/>
  <c r="G325" i="3" s="1"/>
  <c r="F310" i="3"/>
  <c r="G310" i="3" s="1"/>
  <c r="F316" i="3"/>
  <c r="G316" i="3" s="1"/>
  <c r="F327" i="3"/>
  <c r="G327" i="3" s="1"/>
  <c r="F294" i="3"/>
  <c r="G294" i="3" s="1"/>
  <c r="F311" i="3"/>
  <c r="G311" i="3" s="1"/>
  <c r="F360" i="3"/>
  <c r="G360" i="3" s="1"/>
  <c r="F376" i="3"/>
  <c r="G376" i="3" s="1"/>
  <c r="F345" i="3"/>
  <c r="G345" i="3" s="1"/>
  <c r="F317" i="3"/>
  <c r="G317" i="3" s="1"/>
  <c r="F326" i="3"/>
  <c r="G326" i="3" s="1"/>
  <c r="F335" i="3"/>
  <c r="G335" i="3" s="1"/>
  <c r="F352" i="3"/>
  <c r="G352" i="3" s="1"/>
  <c r="F361" i="3"/>
  <c r="G361" i="3" s="1"/>
  <c r="F370" i="3"/>
  <c r="G370" i="3" s="1"/>
  <c r="F318" i="3"/>
  <c r="G318" i="3" s="1"/>
  <c r="F328" i="3"/>
  <c r="G328" i="3" s="1"/>
  <c r="F373" i="3"/>
  <c r="G373" i="3" s="1"/>
  <c r="F329" i="3"/>
  <c r="G329" i="3" s="1"/>
  <c r="F344" i="3"/>
  <c r="G344" i="3" s="1"/>
  <c r="F314" i="3"/>
  <c r="G314" i="3" s="1"/>
  <c r="F312" i="3"/>
  <c r="G312" i="3" s="1"/>
  <c r="F338" i="3"/>
  <c r="G338" i="3" s="1"/>
  <c r="F365" i="3"/>
  <c r="G365" i="3" s="1"/>
  <c r="F319" i="3"/>
  <c r="G319" i="3" s="1"/>
  <c r="F337" i="3"/>
  <c r="G337" i="3" s="1"/>
  <c r="F364" i="3"/>
  <c r="G364" i="3" s="1"/>
  <c r="F340" i="3"/>
  <c r="G340" i="3" s="1"/>
  <c r="F356" i="3"/>
  <c r="G356" i="3" s="1"/>
  <c r="F296" i="3"/>
  <c r="G296" i="3" s="1"/>
  <c r="F349" i="3"/>
  <c r="G349" i="3" s="1"/>
  <c r="F354" i="3"/>
  <c r="G354" i="3" s="1"/>
  <c r="F346" i="3"/>
  <c r="G346" i="3" s="1"/>
  <c r="F355" i="3"/>
  <c r="G355" i="3" s="1"/>
  <c r="F301" i="3"/>
  <c r="G301" i="3" s="1"/>
  <c r="F297" i="3"/>
  <c r="G297" i="3" s="1"/>
  <c r="F306" i="3"/>
  <c r="G306" i="3" s="1"/>
  <c r="F315" i="3"/>
  <c r="G315" i="3" s="1"/>
  <c r="F347" i="3"/>
  <c r="G347" i="3" s="1"/>
  <c r="F323" i="3"/>
  <c r="G323" i="3" s="1"/>
  <c r="F358" i="3"/>
  <c r="G358" i="3" s="1"/>
  <c r="F334" i="3"/>
  <c r="G334" i="3" s="1"/>
  <c r="F374" i="3"/>
  <c r="G374" i="3" s="1"/>
  <c r="F363" i="3"/>
  <c r="G363" i="3" s="1"/>
  <c r="F322" i="3"/>
  <c r="G322" i="3" s="1"/>
  <c r="F330" i="3"/>
  <c r="G330" i="3" s="1"/>
  <c r="F339" i="3"/>
  <c r="G339" i="3" s="1"/>
  <c r="F348" i="3"/>
  <c r="G348" i="3" s="1"/>
  <c r="F357" i="3"/>
  <c r="G357" i="3" s="1"/>
  <c r="F366" i="3"/>
  <c r="G366" i="3" s="1"/>
  <c r="F375" i="3"/>
  <c r="G375" i="3" s="1"/>
  <c r="F305" i="3"/>
  <c r="G305" i="3" s="1"/>
  <c r="F303" i="3"/>
  <c r="G303" i="3" s="1"/>
  <c r="F300" i="3"/>
  <c r="G300" i="3" s="1"/>
  <c r="F308" i="3"/>
  <c r="G308" i="3" s="1"/>
  <c r="F321" i="3"/>
  <c r="G321" i="3" s="1"/>
  <c r="F351" i="3"/>
  <c r="G351" i="3" s="1"/>
  <c r="F332" i="3"/>
  <c r="G332" i="3" s="1"/>
  <c r="F367" i="3"/>
  <c r="G367" i="3" s="1"/>
  <c r="F343" i="3"/>
  <c r="G343" i="3" s="1"/>
  <c r="F336" i="3"/>
  <c r="G336" i="3" s="1"/>
  <c r="F372" i="3"/>
  <c r="G372" i="3" s="1"/>
  <c r="F324" i="3"/>
  <c r="G324" i="3" s="1"/>
  <c r="F333" i="3"/>
  <c r="G333" i="3" s="1"/>
  <c r="F341" i="3"/>
  <c r="G341" i="3" s="1"/>
  <c r="F350" i="3"/>
  <c r="G350" i="3" s="1"/>
  <c r="F359" i="3"/>
  <c r="G359" i="3" s="1"/>
  <c r="F368" i="3"/>
  <c r="G368" i="3" s="1"/>
  <c r="F377" i="3"/>
  <c r="G377" i="3" s="1"/>
  <c r="G228" i="4" l="1"/>
  <c r="I228" i="4"/>
  <c r="F230" i="4"/>
  <c r="C111" i="4" s="1"/>
  <c r="I229" i="4"/>
  <c r="G229" i="4"/>
  <c r="G378" i="3"/>
  <c r="G230" i="4" l="1"/>
  <c r="A111" i="4" s="1"/>
  <c r="B111" i="4" s="1"/>
  <c r="E47" i="4"/>
  <c r="I230" i="4"/>
  <c r="D108" i="3"/>
  <c r="A108" i="3" s="1"/>
  <c r="B108" i="3" s="1"/>
  <c r="A57" i="3"/>
  <c r="A50" i="3"/>
  <c r="A49" i="3"/>
  <c r="A47" i="3"/>
  <c r="A45" i="3"/>
  <c r="A103" i="3"/>
  <c r="B103" i="3" s="1"/>
  <c r="E86" i="3"/>
  <c r="D65" i="3" s="1"/>
  <c r="A61" i="3"/>
  <c r="A59" i="3"/>
  <c r="A110" i="3" s="1"/>
  <c r="B110" i="3" s="1"/>
  <c r="A55" i="3"/>
  <c r="E111" i="4" l="1"/>
  <c r="C47" i="4" s="1"/>
  <c r="D47" i="4" s="1"/>
  <c r="A47" i="4"/>
  <c r="A60" i="3"/>
  <c r="C110" i="3"/>
  <c r="C60" i="3" s="1"/>
  <c r="D60" i="3" s="1"/>
  <c r="D55" i="3"/>
  <c r="E109" i="3"/>
  <c r="C59" i="3" s="1"/>
  <c r="D59" i="3" s="1"/>
  <c r="D45" i="3"/>
  <c r="E112" i="3"/>
  <c r="C62" i="3" s="1"/>
  <c r="E111" i="3"/>
  <c r="C61" i="3" s="1"/>
  <c r="D61" i="3" s="1"/>
  <c r="D46" i="3"/>
  <c r="D50" i="3"/>
  <c r="D56" i="3"/>
  <c r="E108" i="3"/>
  <c r="C58" i="3" s="1"/>
  <c r="D58" i="3" s="1"/>
  <c r="C114" i="3"/>
  <c r="C113" i="3"/>
  <c r="C97" i="3"/>
  <c r="E97" i="3" s="1"/>
  <c r="C47" i="3" s="1"/>
  <c r="D47" i="3" s="1"/>
  <c r="C216" i="3"/>
  <c r="C98" i="3"/>
  <c r="C225" i="3"/>
  <c r="C211" i="3"/>
  <c r="F211" i="3" s="1"/>
  <c r="G211" i="3" s="1"/>
  <c r="C209" i="3"/>
  <c r="F209" i="3" s="1"/>
  <c r="C212" i="3"/>
  <c r="F212" i="3" s="1"/>
  <c r="G212" i="3" s="1"/>
  <c r="C210" i="3"/>
  <c r="F210" i="3" s="1"/>
  <c r="G210" i="3" s="1"/>
  <c r="C186" i="3"/>
  <c r="C168" i="3"/>
  <c r="C103" i="3"/>
  <c r="E103" i="3" s="1"/>
  <c r="C53" i="3" s="1"/>
  <c r="C180" i="3"/>
  <c r="C198" i="3"/>
  <c r="A51" i="3"/>
  <c r="C16" i="3"/>
  <c r="A46" i="3"/>
  <c r="A48" i="3"/>
  <c r="A52" i="3"/>
  <c r="A54" i="3"/>
  <c r="A56" i="3"/>
  <c r="A63" i="3"/>
  <c r="A64" i="3"/>
  <c r="E98" i="3" l="1"/>
  <c r="C48" i="3" s="1"/>
  <c r="D48" i="3" s="1"/>
  <c r="E114" i="3"/>
  <c r="C64" i="3" s="1"/>
  <c r="D64" i="3" s="1"/>
  <c r="E113" i="3"/>
  <c r="F216" i="3"/>
  <c r="C217" i="3"/>
  <c r="C201" i="3"/>
  <c r="F201" i="3" s="1"/>
  <c r="C200" i="3"/>
  <c r="F200" i="3" s="1"/>
  <c r="C199" i="3"/>
  <c r="F199" i="3" s="1"/>
  <c r="F198" i="3"/>
  <c r="C172" i="3"/>
  <c r="F172" i="3" s="1"/>
  <c r="C170" i="3"/>
  <c r="F170" i="3" s="1"/>
  <c r="C174" i="3"/>
  <c r="F174" i="3" s="1"/>
  <c r="C169" i="3"/>
  <c r="F169" i="3" s="1"/>
  <c r="C173" i="3"/>
  <c r="F173" i="3" s="1"/>
  <c r="F168" i="3"/>
  <c r="C171" i="3"/>
  <c r="F171" i="3" s="1"/>
  <c r="F213" i="3"/>
  <c r="C90" i="3" s="1"/>
  <c r="G209" i="3"/>
  <c r="G213" i="3" s="1"/>
  <c r="C183" i="3"/>
  <c r="F183" i="3" s="1"/>
  <c r="F180" i="3"/>
  <c r="C182" i="3"/>
  <c r="F182" i="3" s="1"/>
  <c r="C181" i="3"/>
  <c r="F181" i="3" s="1"/>
  <c r="C190" i="3"/>
  <c r="F190" i="3" s="1"/>
  <c r="F186" i="3"/>
  <c r="C187" i="3"/>
  <c r="F187" i="3" s="1"/>
  <c r="C188" i="3"/>
  <c r="F188" i="3" s="1"/>
  <c r="C189" i="3"/>
  <c r="F189" i="3" s="1"/>
  <c r="C191" i="3"/>
  <c r="F191" i="3" s="1"/>
  <c r="C192" i="3"/>
  <c r="F192" i="3" s="1"/>
  <c r="L226" i="3"/>
  <c r="F225" i="3"/>
  <c r="C228" i="3"/>
  <c r="R228" i="3" s="1"/>
  <c r="C227" i="3"/>
  <c r="L227" i="3" s="1"/>
  <c r="M227" i="3" s="1"/>
  <c r="C226" i="3"/>
  <c r="R226" i="3" s="1"/>
  <c r="C229" i="3"/>
  <c r="L229" i="3" s="1"/>
  <c r="A62" i="3"/>
  <c r="A53" i="3"/>
  <c r="D53" i="3"/>
  <c r="A67" i="1"/>
  <c r="D62" i="3" l="1"/>
  <c r="C63" i="3"/>
  <c r="D63" i="3" s="1"/>
  <c r="A90" i="3"/>
  <c r="B90" i="3" s="1"/>
  <c r="C218" i="3"/>
  <c r="F217" i="3"/>
  <c r="G216" i="3"/>
  <c r="I216" i="3"/>
  <c r="F193" i="3"/>
  <c r="G186" i="3"/>
  <c r="I186" i="3"/>
  <c r="I171" i="3"/>
  <c r="G171" i="3"/>
  <c r="I174" i="3"/>
  <c r="G174" i="3"/>
  <c r="I225" i="3"/>
  <c r="I230" i="3" s="1"/>
  <c r="F230" i="3"/>
  <c r="C92" i="3" s="1"/>
  <c r="G225" i="3"/>
  <c r="G230" i="3" s="1"/>
  <c r="G190" i="3"/>
  <c r="I190" i="3"/>
  <c r="I183" i="3"/>
  <c r="G183" i="3"/>
  <c r="I170" i="3"/>
  <c r="G170" i="3"/>
  <c r="S226" i="3"/>
  <c r="R230" i="3"/>
  <c r="C94" i="3" s="1"/>
  <c r="M226" i="3"/>
  <c r="L230" i="3"/>
  <c r="C93" i="3" s="1"/>
  <c r="I181" i="3"/>
  <c r="G181" i="3"/>
  <c r="I192" i="3"/>
  <c r="G192" i="3"/>
  <c r="I187" i="3"/>
  <c r="G187" i="3"/>
  <c r="I182" i="3"/>
  <c r="G182" i="3"/>
  <c r="I169" i="3"/>
  <c r="G169" i="3"/>
  <c r="I198" i="3"/>
  <c r="G198" i="3"/>
  <c r="F202" i="3"/>
  <c r="S228" i="3"/>
  <c r="U228" i="3"/>
  <c r="U230" i="3" s="1"/>
  <c r="G191" i="3"/>
  <c r="I191" i="3"/>
  <c r="F184" i="3"/>
  <c r="G180" i="3"/>
  <c r="I180" i="3"/>
  <c r="I199" i="3"/>
  <c r="G199" i="3"/>
  <c r="M229" i="3"/>
  <c r="M230" i="3" s="1"/>
  <c r="O229" i="3"/>
  <c r="O230" i="3" s="1"/>
  <c r="I189" i="3"/>
  <c r="G189" i="3"/>
  <c r="I168" i="3"/>
  <c r="G168" i="3"/>
  <c r="F175" i="3"/>
  <c r="C89" i="3" s="1"/>
  <c r="I200" i="3"/>
  <c r="G200" i="3"/>
  <c r="G188" i="3"/>
  <c r="I188" i="3"/>
  <c r="I173" i="3"/>
  <c r="G173" i="3"/>
  <c r="I172" i="3"/>
  <c r="G172" i="3"/>
  <c r="I201" i="3"/>
  <c r="G201" i="3"/>
  <c r="A58" i="3"/>
  <c r="E111" i="1"/>
  <c r="C59" i="1" s="1"/>
  <c r="C110" i="1"/>
  <c r="E110" i="1" s="1"/>
  <c r="C58" i="1" s="1"/>
  <c r="C105" i="1"/>
  <c r="E105" i="1" s="1"/>
  <c r="C53" i="1" s="1"/>
  <c r="C101" i="1"/>
  <c r="E101" i="1" s="1"/>
  <c r="C49" i="1" s="1"/>
  <c r="C100" i="1"/>
  <c r="E100" i="1" s="1"/>
  <c r="C48" i="1" s="1"/>
  <c r="A93" i="3" l="1"/>
  <c r="B93" i="3" s="1"/>
  <c r="A92" i="3"/>
  <c r="B92" i="3" s="1"/>
  <c r="E90" i="3"/>
  <c r="C40" i="3" s="1"/>
  <c r="D40" i="3" s="1"/>
  <c r="A40" i="3"/>
  <c r="I175" i="3"/>
  <c r="R232" i="3"/>
  <c r="I202" i="3"/>
  <c r="I217" i="3"/>
  <c r="G217" i="3"/>
  <c r="C219" i="3"/>
  <c r="F218" i="3"/>
  <c r="I193" i="3"/>
  <c r="G184" i="3"/>
  <c r="G175" i="3"/>
  <c r="I184" i="3"/>
  <c r="G202" i="3"/>
  <c r="G193" i="3"/>
  <c r="S230" i="3"/>
  <c r="C342" i="1"/>
  <c r="D342" i="1" s="1"/>
  <c r="E92" i="3" l="1"/>
  <c r="C42" i="3" s="1"/>
  <c r="D42" i="3" s="1"/>
  <c r="E93" i="3"/>
  <c r="C43" i="3" s="1"/>
  <c r="D43" i="3" s="1"/>
  <c r="C250" i="3"/>
  <c r="C262" i="3"/>
  <c r="C102" i="3" s="1"/>
  <c r="E102" i="3" s="1"/>
  <c r="C52" i="3" s="1"/>
  <c r="D52" i="3" s="1"/>
  <c r="C257" i="3"/>
  <c r="A42" i="3"/>
  <c r="A94" i="3"/>
  <c r="B94" i="3" s="1"/>
  <c r="A43" i="3"/>
  <c r="C123" i="1"/>
  <c r="A108" i="1"/>
  <c r="B108" i="1" s="1"/>
  <c r="C101" i="3"/>
  <c r="E176" i="3"/>
  <c r="C104" i="3" s="1"/>
  <c r="C194" i="3"/>
  <c r="C176" i="3"/>
  <c r="C148" i="1"/>
  <c r="F148" i="1" s="1"/>
  <c r="C160" i="1"/>
  <c r="F219" i="3"/>
  <c r="C220" i="3"/>
  <c r="G218" i="3"/>
  <c r="I218" i="3"/>
  <c r="C122" i="1"/>
  <c r="C102" i="1"/>
  <c r="C103" i="1"/>
  <c r="E103" i="1" s="1"/>
  <c r="C51" i="1" s="1"/>
  <c r="D270" i="1"/>
  <c r="E257" i="1"/>
  <c r="E102" i="1" l="1"/>
  <c r="C50" i="1" s="1"/>
  <c r="C119" i="1"/>
  <c r="E119" i="1" s="1"/>
  <c r="C66" i="1" s="1"/>
  <c r="E291" i="1"/>
  <c r="E290" i="1"/>
  <c r="F290" i="1" s="1"/>
  <c r="G290" i="1" s="1"/>
  <c r="E289" i="1"/>
  <c r="F289" i="1" s="1"/>
  <c r="G289" i="1" s="1"/>
  <c r="E328" i="1"/>
  <c r="E322" i="1"/>
  <c r="E318" i="1"/>
  <c r="E330" i="1"/>
  <c r="E327" i="1"/>
  <c r="E321" i="1"/>
  <c r="E317" i="1"/>
  <c r="E331" i="1"/>
  <c r="E326" i="1"/>
  <c r="E320" i="1"/>
  <c r="E316" i="1"/>
  <c r="E329" i="1"/>
  <c r="E325" i="1"/>
  <c r="E319" i="1"/>
  <c r="E286" i="1"/>
  <c r="E285" i="1"/>
  <c r="E284" i="1"/>
  <c r="E288" i="1"/>
  <c r="E283" i="1"/>
  <c r="E287" i="1"/>
  <c r="E282" i="1"/>
  <c r="C282" i="1"/>
  <c r="E315" i="1"/>
  <c r="N168" i="3"/>
  <c r="A89" i="3" s="1"/>
  <c r="B89" i="3" s="1"/>
  <c r="C99" i="3"/>
  <c r="E99" i="3" s="1"/>
  <c r="C49" i="3" s="1"/>
  <c r="D49" i="3" s="1"/>
  <c r="C107" i="3"/>
  <c r="E107" i="3" s="1"/>
  <c r="C57" i="3" s="1"/>
  <c r="D57" i="3" s="1"/>
  <c r="E104" i="3"/>
  <c r="C54" i="3" s="1"/>
  <c r="D54" i="3" s="1"/>
  <c r="E94" i="3"/>
  <c r="C44" i="3" s="1"/>
  <c r="D44" i="3" s="1"/>
  <c r="A44" i="3"/>
  <c r="E101" i="3"/>
  <c r="C51" i="3" s="1"/>
  <c r="D51" i="3" s="1"/>
  <c r="C150" i="1"/>
  <c r="F150" i="1" s="1"/>
  <c r="G150" i="1" s="1"/>
  <c r="C154" i="1"/>
  <c r="F154" i="1" s="1"/>
  <c r="I154" i="1" s="1"/>
  <c r="C152" i="1"/>
  <c r="F152" i="1" s="1"/>
  <c r="I152" i="1" s="1"/>
  <c r="C151" i="1"/>
  <c r="F151" i="1" s="1"/>
  <c r="I151" i="1" s="1"/>
  <c r="C149" i="1"/>
  <c r="F149" i="1" s="1"/>
  <c r="I149" i="1" s="1"/>
  <c r="C153" i="1"/>
  <c r="F153" i="1" s="1"/>
  <c r="I153" i="1" s="1"/>
  <c r="F160" i="1"/>
  <c r="C163" i="1"/>
  <c r="F163" i="1" s="1"/>
  <c r="C161" i="1"/>
  <c r="F161" i="1" s="1"/>
  <c r="G161" i="1" s="1"/>
  <c r="C162" i="1"/>
  <c r="F162" i="1" s="1"/>
  <c r="F220" i="3"/>
  <c r="C221" i="3"/>
  <c r="F221" i="3" s="1"/>
  <c r="I219" i="3"/>
  <c r="G219" i="3"/>
  <c r="G148" i="1"/>
  <c r="I148" i="1"/>
  <c r="E263" i="1"/>
  <c r="E269" i="1"/>
  <c r="E273" i="1"/>
  <c r="E277" i="1"/>
  <c r="E281" i="1"/>
  <c r="E293" i="1"/>
  <c r="E297" i="1"/>
  <c r="E301" i="1"/>
  <c r="E305" i="1"/>
  <c r="E309" i="1"/>
  <c r="E313" i="1"/>
  <c r="E258" i="1"/>
  <c r="E266" i="1"/>
  <c r="E270" i="1"/>
  <c r="E274" i="1"/>
  <c r="E278" i="1"/>
  <c r="E294" i="1"/>
  <c r="E298" i="1"/>
  <c r="E302" i="1"/>
  <c r="E306" i="1"/>
  <c r="E310" i="1"/>
  <c r="E314" i="1"/>
  <c r="E259" i="1"/>
  <c r="E265" i="1"/>
  <c r="E337" i="1"/>
  <c r="E333" i="1"/>
  <c r="E324" i="1"/>
  <c r="E336" i="1"/>
  <c r="E332" i="1"/>
  <c r="E323" i="1"/>
  <c r="E339" i="1"/>
  <c r="E335" i="1"/>
  <c r="E338" i="1"/>
  <c r="E334" i="1"/>
  <c r="E267" i="1"/>
  <c r="E271" i="1"/>
  <c r="E275" i="1"/>
  <c r="E279" i="1"/>
  <c r="E295" i="1"/>
  <c r="E299" i="1"/>
  <c r="E303" i="1"/>
  <c r="E307" i="1"/>
  <c r="E311" i="1"/>
  <c r="E262" i="1"/>
  <c r="E268" i="1"/>
  <c r="E272" i="1"/>
  <c r="E276" i="1"/>
  <c r="E280" i="1"/>
  <c r="E292" i="1"/>
  <c r="E296" i="1"/>
  <c r="E300" i="1"/>
  <c r="E304" i="1"/>
  <c r="E308" i="1"/>
  <c r="E312" i="1"/>
  <c r="E260" i="1"/>
  <c r="E264" i="1"/>
  <c r="E261" i="1"/>
  <c r="D263" i="1"/>
  <c r="D278" i="1"/>
  <c r="D285" i="1"/>
  <c r="D280" i="1"/>
  <c r="D300" i="1"/>
  <c r="D296" i="1"/>
  <c r="D302" i="1"/>
  <c r="D308" i="1"/>
  <c r="D304" i="1"/>
  <c r="D321" i="1"/>
  <c r="D317" i="1"/>
  <c r="D323" i="1"/>
  <c r="D328" i="1"/>
  <c r="D332" i="1"/>
  <c r="D336" i="1"/>
  <c r="D259" i="1"/>
  <c r="D288" i="1"/>
  <c r="D284" i="1"/>
  <c r="D279" i="1"/>
  <c r="D299" i="1"/>
  <c r="D295" i="1"/>
  <c r="D311" i="1"/>
  <c r="D307" i="1"/>
  <c r="D303" i="1"/>
  <c r="D320" i="1"/>
  <c r="D315" i="1"/>
  <c r="D331" i="1"/>
  <c r="D327" i="1"/>
  <c r="D339" i="1"/>
  <c r="D335" i="1"/>
  <c r="D275" i="1"/>
  <c r="D287" i="1"/>
  <c r="D283" i="1"/>
  <c r="D292" i="1"/>
  <c r="D298" i="1"/>
  <c r="D294" i="1"/>
  <c r="D310" i="1"/>
  <c r="D306" i="1"/>
  <c r="D312" i="1"/>
  <c r="D319" i="1"/>
  <c r="D314" i="1"/>
  <c r="D330" i="1"/>
  <c r="D326" i="1"/>
  <c r="D338" i="1"/>
  <c r="D334" i="1"/>
  <c r="D267" i="1"/>
  <c r="D271" i="1"/>
  <c r="D286" i="1"/>
  <c r="D281" i="1"/>
  <c r="D301" i="1"/>
  <c r="D297" i="1"/>
  <c r="D293" i="1"/>
  <c r="D309" i="1"/>
  <c r="D305" i="1"/>
  <c r="D322" i="1"/>
  <c r="D318" i="1"/>
  <c r="D313" i="1"/>
  <c r="D329" i="1"/>
  <c r="D324" i="1"/>
  <c r="D337" i="1"/>
  <c r="D333" i="1"/>
  <c r="D265" i="1"/>
  <c r="D261" i="1"/>
  <c r="D277" i="1"/>
  <c r="D273" i="1"/>
  <c r="D269" i="1"/>
  <c r="D258" i="1"/>
  <c r="D264" i="1"/>
  <c r="D260" i="1"/>
  <c r="D276" i="1"/>
  <c r="D272" i="1"/>
  <c r="D266" i="1"/>
  <c r="D262" i="1"/>
  <c r="D268" i="1"/>
  <c r="D274" i="1"/>
  <c r="C276" i="1"/>
  <c r="C260" i="1"/>
  <c r="C258" i="1"/>
  <c r="C272" i="1"/>
  <c r="C285" i="1"/>
  <c r="C268" i="1"/>
  <c r="C280" i="1"/>
  <c r="C264" i="1"/>
  <c r="C288" i="1"/>
  <c r="C284" i="1"/>
  <c r="C279" i="1"/>
  <c r="C275" i="1"/>
  <c r="C271" i="1"/>
  <c r="C267" i="1"/>
  <c r="C263" i="1"/>
  <c r="C259" i="1"/>
  <c r="C287" i="1"/>
  <c r="C283" i="1"/>
  <c r="C278" i="1"/>
  <c r="C274" i="1"/>
  <c r="C270" i="1"/>
  <c r="C266" i="1"/>
  <c r="C262" i="1"/>
  <c r="C286" i="1"/>
  <c r="C281" i="1"/>
  <c r="C277" i="1"/>
  <c r="C273" i="1"/>
  <c r="C269" i="1"/>
  <c r="C265" i="1"/>
  <c r="C261" i="1"/>
  <c r="F291" i="1" l="1"/>
  <c r="G291" i="1" s="1"/>
  <c r="F282" i="1"/>
  <c r="G282" i="1" s="1"/>
  <c r="F325" i="1"/>
  <c r="G325" i="1" s="1"/>
  <c r="F333" i="1"/>
  <c r="G333" i="1" s="1"/>
  <c r="F316" i="1"/>
  <c r="G316" i="1" s="1"/>
  <c r="B116" i="1"/>
  <c r="C116" i="1"/>
  <c r="F270" i="1"/>
  <c r="G270" i="1" s="1"/>
  <c r="A39" i="3"/>
  <c r="A117" i="1"/>
  <c r="C117" i="1" s="1"/>
  <c r="E89" i="3"/>
  <c r="C39" i="3" s="1"/>
  <c r="D39" i="3" s="1"/>
  <c r="I150" i="1"/>
  <c r="I155" i="1" s="1"/>
  <c r="G152" i="1"/>
  <c r="G154" i="1"/>
  <c r="G149" i="1"/>
  <c r="G151" i="1"/>
  <c r="G153" i="1"/>
  <c r="G160" i="1"/>
  <c r="I160" i="1"/>
  <c r="F164" i="1"/>
  <c r="I162" i="1"/>
  <c r="G162" i="1"/>
  <c r="F155" i="1"/>
  <c r="I161" i="1"/>
  <c r="G163" i="1"/>
  <c r="I163" i="1"/>
  <c r="I221" i="3"/>
  <c r="G221" i="3"/>
  <c r="F222" i="3"/>
  <c r="C91" i="3" s="1"/>
  <c r="I220" i="3"/>
  <c r="G220" i="3"/>
  <c r="F337" i="1"/>
  <c r="G337" i="1" s="1"/>
  <c r="F338" i="1"/>
  <c r="G338" i="1" s="1"/>
  <c r="F286" i="1"/>
  <c r="G286" i="1" s="1"/>
  <c r="F269" i="1"/>
  <c r="G269" i="1" s="1"/>
  <c r="F265" i="1"/>
  <c r="G265" i="1" s="1"/>
  <c r="F329" i="1"/>
  <c r="G329" i="1" s="1"/>
  <c r="F301" i="1"/>
  <c r="G301" i="1" s="1"/>
  <c r="F267" i="1"/>
  <c r="G267" i="1" s="1"/>
  <c r="F330" i="1"/>
  <c r="G330" i="1" s="1"/>
  <c r="F311" i="1"/>
  <c r="G311" i="1" s="1"/>
  <c r="F278" i="1"/>
  <c r="G278" i="1" s="1"/>
  <c r="F262" i="1"/>
  <c r="G262" i="1" s="1"/>
  <c r="F281" i="1"/>
  <c r="G281" i="1" s="1"/>
  <c r="F334" i="1"/>
  <c r="G334" i="1" s="1"/>
  <c r="F314" i="1"/>
  <c r="G314" i="1" s="1"/>
  <c r="F283" i="1"/>
  <c r="G283" i="1" s="1"/>
  <c r="F339" i="1"/>
  <c r="G339" i="1" s="1"/>
  <c r="F295" i="1"/>
  <c r="G295" i="1" s="1"/>
  <c r="F288" i="1"/>
  <c r="G288" i="1" s="1"/>
  <c r="F280" i="1"/>
  <c r="G280" i="1" s="1"/>
  <c r="F305" i="1"/>
  <c r="G305" i="1" s="1"/>
  <c r="F260" i="1"/>
  <c r="G260" i="1" s="1"/>
  <c r="F313" i="1"/>
  <c r="G313" i="1" s="1"/>
  <c r="F328" i="1"/>
  <c r="G328" i="1" s="1"/>
  <c r="F263" i="1"/>
  <c r="G263" i="1" s="1"/>
  <c r="F318" i="1"/>
  <c r="G318" i="1" s="1"/>
  <c r="F287" i="1"/>
  <c r="G287" i="1" s="1"/>
  <c r="F303" i="1"/>
  <c r="G303" i="1" s="1"/>
  <c r="F259" i="1"/>
  <c r="G259" i="1" s="1"/>
  <c r="F274" i="1"/>
  <c r="G274" i="1" s="1"/>
  <c r="F272" i="1"/>
  <c r="G272" i="1" s="1"/>
  <c r="F258" i="1"/>
  <c r="G258" i="1" s="1"/>
  <c r="F261" i="1"/>
  <c r="G261" i="1" s="1"/>
  <c r="F324" i="1"/>
  <c r="G324" i="1" s="1"/>
  <c r="F322" i="1"/>
  <c r="G322" i="1" s="1"/>
  <c r="F297" i="1"/>
  <c r="G297" i="1" s="1"/>
  <c r="F326" i="1"/>
  <c r="G326" i="1" s="1"/>
  <c r="F312" i="1"/>
  <c r="G312" i="1" s="1"/>
  <c r="F298" i="1"/>
  <c r="G298" i="1" s="1"/>
  <c r="F275" i="1"/>
  <c r="G275" i="1" s="1"/>
  <c r="F331" i="1"/>
  <c r="G331" i="1" s="1"/>
  <c r="F279" i="1"/>
  <c r="G279" i="1" s="1"/>
  <c r="F336" i="1"/>
  <c r="G336" i="1" s="1"/>
  <c r="F317" i="1"/>
  <c r="G317" i="1" s="1"/>
  <c r="F302" i="1"/>
  <c r="G302" i="1" s="1"/>
  <c r="F306" i="1"/>
  <c r="G306" i="1" s="1"/>
  <c r="F292" i="1"/>
  <c r="G292" i="1" s="1"/>
  <c r="F315" i="1"/>
  <c r="G315" i="1" s="1"/>
  <c r="F284" i="1"/>
  <c r="G284" i="1" s="1"/>
  <c r="F273" i="1"/>
  <c r="G273" i="1" s="1"/>
  <c r="F310" i="1"/>
  <c r="G310" i="1" s="1"/>
  <c r="F320" i="1"/>
  <c r="G320" i="1" s="1"/>
  <c r="F304" i="1"/>
  <c r="G304" i="1" s="1"/>
  <c r="F309" i="1"/>
  <c r="G309" i="1" s="1"/>
  <c r="F300" i="1"/>
  <c r="G300" i="1" s="1"/>
  <c r="F293" i="1"/>
  <c r="G293" i="1" s="1"/>
  <c r="F266" i="1"/>
  <c r="G266" i="1" s="1"/>
  <c r="F264" i="1"/>
  <c r="G264" i="1" s="1"/>
  <c r="F277" i="1"/>
  <c r="G277" i="1" s="1"/>
  <c r="F319" i="1"/>
  <c r="G319" i="1" s="1"/>
  <c r="F294" i="1"/>
  <c r="G294" i="1" s="1"/>
  <c r="F327" i="1"/>
  <c r="G327" i="1" s="1"/>
  <c r="F299" i="1"/>
  <c r="G299" i="1" s="1"/>
  <c r="F323" i="1"/>
  <c r="G323" i="1" s="1"/>
  <c r="F308" i="1"/>
  <c r="G308" i="1" s="1"/>
  <c r="F271" i="1"/>
  <c r="G271" i="1" s="1"/>
  <c r="F307" i="1"/>
  <c r="G307" i="1" s="1"/>
  <c r="F285" i="1"/>
  <c r="G285" i="1" s="1"/>
  <c r="F268" i="1"/>
  <c r="G268" i="1" s="1"/>
  <c r="F276" i="1"/>
  <c r="G276" i="1" s="1"/>
  <c r="F335" i="1"/>
  <c r="G335" i="1" s="1"/>
  <c r="F332" i="1"/>
  <c r="G332" i="1" s="1"/>
  <c r="F321" i="1"/>
  <c r="G321" i="1" s="1"/>
  <c r="F296" i="1"/>
  <c r="G296" i="1" s="1"/>
  <c r="A255" i="1"/>
  <c r="A254" i="1"/>
  <c r="A249" i="1"/>
  <c r="A248" i="1"/>
  <c r="A59" i="1"/>
  <c r="A57" i="1"/>
  <c r="A55" i="1"/>
  <c r="A54" i="1"/>
  <c r="A52" i="1"/>
  <c r="A51" i="1"/>
  <c r="A64" i="1" l="1"/>
  <c r="B117" i="1"/>
  <c r="G222" i="3"/>
  <c r="I222" i="3"/>
  <c r="A70" i="1"/>
  <c r="G155" i="1"/>
  <c r="I164" i="1"/>
  <c r="G164" i="1"/>
  <c r="A50" i="1"/>
  <c r="G340" i="1"/>
  <c r="D114" i="1" s="1"/>
  <c r="A114" i="1" s="1"/>
  <c r="B114" i="1" s="1"/>
  <c r="E114" i="1" l="1"/>
  <c r="C62" i="1" s="1"/>
  <c r="A91" i="3"/>
  <c r="B91" i="3" s="1"/>
  <c r="C156" i="1"/>
  <c r="A69" i="1"/>
  <c r="A68" i="1"/>
  <c r="F91" i="3" l="1"/>
  <c r="E41" i="3" s="1"/>
  <c r="A94" i="1"/>
  <c r="E91" i="3"/>
  <c r="C41" i="3" s="1"/>
  <c r="D41" i="3" s="1"/>
  <c r="A41" i="3"/>
  <c r="A62" i="1"/>
  <c r="A93" i="1" l="1"/>
  <c r="B94" i="1"/>
  <c r="E91" i="1"/>
  <c r="D66" i="1" s="1"/>
  <c r="D60" i="1" l="1"/>
  <c r="D65" i="1"/>
  <c r="E117" i="1"/>
  <c r="C64" i="1" s="1"/>
  <c r="D64" i="1" s="1"/>
  <c r="D68" i="1"/>
  <c r="D67" i="1"/>
  <c r="D49" i="1"/>
  <c r="D53" i="1"/>
  <c r="D58" i="1"/>
  <c r="D62" i="1"/>
  <c r="D48" i="1"/>
  <c r="D59" i="1"/>
  <c r="D51" i="1"/>
  <c r="D50" i="1"/>
  <c r="D69" i="1"/>
  <c r="A58" i="1" l="1"/>
  <c r="A61" i="1"/>
  <c r="A63" i="1"/>
  <c r="E116" i="1" l="1"/>
  <c r="C70" i="1" l="1"/>
  <c r="D70" i="1" s="1"/>
  <c r="C63" i="1"/>
  <c r="D63" i="1" s="1"/>
  <c r="A53" i="1"/>
  <c r="A49" i="1" l="1"/>
  <c r="A48" i="1"/>
  <c r="C178" i="1" l="1"/>
  <c r="C179" i="1" l="1"/>
  <c r="C180" i="1" s="1"/>
  <c r="C181" i="1" s="1"/>
  <c r="C182" i="1" s="1"/>
  <c r="C183" i="1" s="1"/>
  <c r="F179" i="1" l="1"/>
  <c r="I179" i="1" s="1"/>
  <c r="F180" i="1"/>
  <c r="I180" i="1" s="1"/>
  <c r="F181" i="1"/>
  <c r="I181" i="1" s="1"/>
  <c r="F182" i="1"/>
  <c r="I182" i="1" s="1"/>
  <c r="F183" i="1"/>
  <c r="I183" i="1" s="1"/>
  <c r="F178" i="1"/>
  <c r="I178" i="1" l="1"/>
  <c r="I184" i="1" s="1"/>
  <c r="F184" i="1"/>
  <c r="C96" i="1" s="1"/>
  <c r="G183" i="1"/>
  <c r="G182" i="1"/>
  <c r="G181" i="1"/>
  <c r="G180" i="1"/>
  <c r="G179" i="1"/>
  <c r="G178" i="1"/>
  <c r="B130" i="1"/>
  <c r="B131" i="1"/>
  <c r="B132" i="1"/>
  <c r="B133" i="1"/>
  <c r="B134" i="1"/>
  <c r="B135" i="1"/>
  <c r="B136" i="1"/>
  <c r="A131" i="1"/>
  <c r="A132" i="1"/>
  <c r="A133" i="1"/>
  <c r="A134" i="1"/>
  <c r="A135" i="1"/>
  <c r="A136" i="1"/>
  <c r="A130" i="1"/>
  <c r="G184" i="1" l="1"/>
  <c r="A96" i="1" s="1"/>
  <c r="C174" i="1"/>
  <c r="F174" i="1" s="1"/>
  <c r="G174" i="1" s="1"/>
  <c r="C108" i="1"/>
  <c r="C172" i="1"/>
  <c r="F172" i="1" s="1"/>
  <c r="G172" i="1" s="1"/>
  <c r="C171" i="1"/>
  <c r="F171" i="1" s="1"/>
  <c r="C142" i="1"/>
  <c r="F142" i="1" s="1"/>
  <c r="C130" i="1"/>
  <c r="C131" i="1" s="1"/>
  <c r="F131" i="1" s="1"/>
  <c r="C173" i="1"/>
  <c r="F173" i="1" s="1"/>
  <c r="G173" i="1" s="1"/>
  <c r="L189" i="1"/>
  <c r="M189" i="1" s="1"/>
  <c r="E44" i="1" l="1"/>
  <c r="B96" i="1"/>
  <c r="E96" i="1"/>
  <c r="C44" i="1" s="1"/>
  <c r="D44" i="1" s="1"/>
  <c r="E108" i="1"/>
  <c r="C56" i="1" s="1"/>
  <c r="D56" i="1" s="1"/>
  <c r="A56" i="1"/>
  <c r="A44" i="1"/>
  <c r="C136" i="1"/>
  <c r="F136" i="1" s="1"/>
  <c r="G136" i="1" s="1"/>
  <c r="F187" i="1"/>
  <c r="F192" i="1" s="1"/>
  <c r="C97" i="1" s="1"/>
  <c r="C145" i="1"/>
  <c r="C135" i="1"/>
  <c r="F135" i="1" s="1"/>
  <c r="I135" i="1" s="1"/>
  <c r="C144" i="1"/>
  <c r="F144" i="1" s="1"/>
  <c r="G144" i="1" s="1"/>
  <c r="C132" i="1"/>
  <c r="I131" i="1"/>
  <c r="G131" i="1"/>
  <c r="I142" i="1"/>
  <c r="G142" i="1"/>
  <c r="G171" i="1"/>
  <c r="G175" i="1" s="1"/>
  <c r="A95" i="1" s="1"/>
  <c r="B95" i="1" s="1"/>
  <c r="F175" i="1"/>
  <c r="C95" i="1" s="1"/>
  <c r="L188" i="1"/>
  <c r="R190" i="1"/>
  <c r="L191" i="1"/>
  <c r="C134" i="1"/>
  <c r="F134" i="1" s="1"/>
  <c r="C143" i="1"/>
  <c r="F143" i="1" s="1"/>
  <c r="F130" i="1"/>
  <c r="R188" i="1"/>
  <c r="C133" i="1"/>
  <c r="F133" i="1" s="1"/>
  <c r="F145" i="1" l="1"/>
  <c r="G145" i="1" s="1"/>
  <c r="E95" i="1"/>
  <c r="C43" i="1" s="1"/>
  <c r="D43" i="1" s="1"/>
  <c r="F132" i="1"/>
  <c r="G132" i="1" s="1"/>
  <c r="A43" i="1"/>
  <c r="G187" i="1"/>
  <c r="G192" i="1" s="1"/>
  <c r="A97" i="1" s="1"/>
  <c r="B97" i="1" s="1"/>
  <c r="G135" i="1"/>
  <c r="I144" i="1"/>
  <c r="I136" i="1"/>
  <c r="I187" i="1"/>
  <c r="I192" i="1" s="1"/>
  <c r="M188" i="1"/>
  <c r="L192" i="1"/>
  <c r="G143" i="1"/>
  <c r="I143" i="1"/>
  <c r="I133" i="1"/>
  <c r="G133" i="1"/>
  <c r="U190" i="1"/>
  <c r="U192" i="1" s="1"/>
  <c r="S190" i="1"/>
  <c r="S188" i="1"/>
  <c r="R192" i="1"/>
  <c r="C99" i="1" s="1"/>
  <c r="G134" i="1"/>
  <c r="I134" i="1"/>
  <c r="I130" i="1"/>
  <c r="G130" i="1"/>
  <c r="M191" i="1"/>
  <c r="O191" i="1"/>
  <c r="O192" i="1" s="1"/>
  <c r="E97" i="1" l="1"/>
  <c r="C45" i="1" s="1"/>
  <c r="D45" i="1" s="1"/>
  <c r="F146" i="1"/>
  <c r="I145" i="1"/>
  <c r="I146" i="1" s="1"/>
  <c r="G146" i="1"/>
  <c r="F137" i="1"/>
  <c r="C94" i="1" s="1"/>
  <c r="I132" i="1"/>
  <c r="I137" i="1" s="1"/>
  <c r="C98" i="1"/>
  <c r="A45" i="1"/>
  <c r="R194" i="1"/>
  <c r="S192" i="1"/>
  <c r="M192" i="1"/>
  <c r="A98" i="1" s="1"/>
  <c r="B98" i="1" s="1"/>
  <c r="G137" i="1"/>
  <c r="C138" i="1" s="1"/>
  <c r="C212" i="1" l="1"/>
  <c r="C113" i="1" s="1"/>
  <c r="C224" i="1"/>
  <c r="C107" i="1" s="1"/>
  <c r="C219" i="1"/>
  <c r="C106" i="1" s="1"/>
  <c r="A99" i="1"/>
  <c r="B99" i="1" s="1"/>
  <c r="E98" i="1"/>
  <c r="C46" i="1" s="1"/>
  <c r="D46" i="1" s="1"/>
  <c r="E94" i="1"/>
  <c r="C42" i="1" s="1"/>
  <c r="D42" i="1" s="1"/>
  <c r="A42" i="1"/>
  <c r="A46" i="1"/>
  <c r="E138" i="1"/>
  <c r="E99" i="1" l="1"/>
  <c r="C47" i="1" s="1"/>
  <c r="D47" i="1" s="1"/>
  <c r="A47" i="1"/>
  <c r="E106" i="1"/>
  <c r="C54" i="1" s="1"/>
  <c r="D54" i="1" s="1"/>
  <c r="E113" i="1"/>
  <c r="C61" i="1" s="1"/>
  <c r="D61" i="1" s="1"/>
  <c r="E107" i="1"/>
  <c r="C55" i="1" s="1"/>
  <c r="D55" i="1" s="1"/>
  <c r="C104" i="1"/>
  <c r="C109" i="1"/>
  <c r="E104" i="1" l="1"/>
  <c r="C52" i="1" s="1"/>
  <c r="D52" i="1" s="1"/>
  <c r="E109" i="1"/>
  <c r="C57" i="1" s="1"/>
  <c r="D57" i="1" s="1"/>
  <c r="B246" i="1" l="1"/>
  <c r="B281" i="1"/>
  <c r="B354" i="3"/>
  <c r="B303" i="1"/>
  <c r="B285" i="1"/>
  <c r="B302" i="3"/>
  <c r="B225" i="1"/>
  <c r="B258" i="1"/>
  <c r="B310" i="3"/>
  <c r="B259" i="1"/>
  <c r="B260" i="1"/>
  <c r="B364" i="3"/>
  <c r="B263" i="3"/>
  <c r="B228" i="4"/>
  <c r="B226" i="4"/>
  <c r="B294" i="3"/>
  <c r="B266" i="4"/>
  <c r="B263" i="4"/>
  <c r="B306" i="5"/>
  <c r="B251" i="3"/>
  <c r="B388" i="4"/>
  <c r="B248" i="1"/>
  <c r="B265" i="1"/>
  <c r="B182" i="1"/>
  <c r="B284" i="1"/>
  <c r="B268" i="1"/>
  <c r="B319" i="3"/>
  <c r="B179" i="1"/>
  <c r="B327" i="1"/>
  <c r="B171" i="1"/>
  <c r="B323" i="1"/>
  <c r="B252" i="1"/>
  <c r="B382" i="3"/>
  <c r="B295" i="3"/>
  <c r="B256" i="4"/>
  <c r="B254" i="4"/>
  <c r="B316" i="3"/>
  <c r="B310" i="4"/>
  <c r="B316" i="4"/>
  <c r="B327" i="3"/>
  <c r="B281" i="3"/>
  <c r="B288" i="1"/>
  <c r="B272" i="1"/>
  <c r="B213" i="1"/>
  <c r="B278" i="1"/>
  <c r="B252" i="3"/>
  <c r="B250" i="3"/>
  <c r="B214" i="1"/>
  <c r="B344" i="1"/>
  <c r="B208" i="1"/>
  <c r="B342" i="1"/>
  <c r="B314" i="3"/>
  <c r="B359" i="3"/>
  <c r="B385" i="4"/>
  <c r="B373" i="4"/>
  <c r="B246" i="3"/>
  <c r="B401" i="4"/>
  <c r="B403" i="4"/>
  <c r="B377" i="3"/>
  <c r="B190" i="1"/>
  <c r="B283" i="1"/>
  <c r="B247" i="3"/>
  <c r="B234" i="1"/>
  <c r="B277" i="1"/>
  <c r="B358" i="3"/>
  <c r="B180" i="1"/>
  <c r="B346" i="1"/>
  <c r="B251" i="1"/>
  <c r="B204" i="1"/>
  <c r="B333" i="1"/>
  <c r="B248" i="3"/>
  <c r="B334" i="3"/>
  <c r="B326" i="4"/>
  <c r="B328" i="4"/>
  <c r="B297" i="3"/>
  <c r="B352" i="3"/>
  <c r="B355" i="4"/>
  <c r="B324" i="1"/>
  <c r="B308" i="1"/>
  <c r="B194" i="1"/>
  <c r="B314" i="1"/>
  <c r="B290" i="3"/>
  <c r="B373" i="3"/>
  <c r="B239" i="1"/>
  <c r="B273" i="1"/>
  <c r="B189" i="1"/>
  <c r="B270" i="1"/>
  <c r="B265" i="3"/>
  <c r="B270" i="3"/>
  <c r="B348" i="3"/>
  <c r="B351" i="4"/>
  <c r="B337" i="4"/>
  <c r="B374" i="3"/>
  <c r="B366" i="4"/>
  <c r="B368" i="4"/>
  <c r="B306" i="3"/>
  <c r="B339" i="3"/>
  <c r="B323" i="4"/>
  <c r="B307" i="1"/>
  <c r="B292" i="1"/>
  <c r="B203" i="1"/>
  <c r="B298" i="1"/>
  <c r="B226" i="3"/>
  <c r="B221" i="3"/>
  <c r="B205" i="1"/>
  <c r="B337" i="1"/>
  <c r="B191" i="1"/>
  <c r="B334" i="1"/>
  <c r="B296" i="3"/>
  <c r="B324" i="3"/>
  <c r="B366" i="3"/>
  <c r="B367" i="4"/>
  <c r="B357" i="4"/>
  <c r="B218" i="3"/>
  <c r="B384" i="4"/>
  <c r="B386" i="4"/>
  <c r="B341" i="3"/>
  <c r="B181" i="1"/>
  <c r="B302" i="1"/>
  <c r="B219" i="3"/>
  <c r="B238" i="1"/>
  <c r="B297" i="1"/>
  <c r="B340" i="3"/>
  <c r="B142" i="1"/>
  <c r="B263" i="1"/>
  <c r="B264" i="1"/>
  <c r="B254" i="1"/>
  <c r="B269" i="1"/>
  <c r="B220" i="3"/>
  <c r="B312" i="3"/>
  <c r="B292" i="4"/>
  <c r="B285" i="4"/>
  <c r="B227" i="3"/>
  <c r="B335" i="3"/>
  <c r="B335" i="4"/>
  <c r="B325" i="4"/>
  <c r="B321" i="3"/>
  <c r="B232" i="1"/>
  <c r="B301" i="1"/>
  <c r="B336" i="3"/>
  <c r="B320" i="1"/>
  <c r="B304" i="1"/>
  <c r="B259" i="3"/>
  <c r="B217" i="1"/>
  <c r="B338" i="1"/>
  <c r="B288" i="3"/>
  <c r="B275" i="1"/>
  <c r="B276" i="1"/>
  <c r="B346" i="3"/>
  <c r="B241" i="3"/>
  <c r="B396" i="4"/>
  <c r="B400" i="4"/>
  <c r="B245" i="3"/>
  <c r="B240" i="4"/>
  <c r="B145" i="1"/>
  <c r="B339" i="1"/>
  <c r="B284" i="3"/>
  <c r="B173" i="1"/>
  <c r="B331" i="1"/>
  <c r="B305" i="3"/>
  <c r="B307" i="3"/>
  <c r="B299" i="1"/>
  <c r="B300" i="1"/>
  <c r="B224" i="1"/>
  <c r="B305" i="1"/>
  <c r="B349" i="3"/>
  <c r="B240" i="3"/>
  <c r="B234" i="4"/>
  <c r="B229" i="4"/>
  <c r="B410" i="4"/>
  <c r="B300" i="3"/>
  <c r="B261" i="4"/>
  <c r="B259" i="4"/>
  <c r="B255" i="3"/>
  <c r="B183" i="1"/>
  <c r="B319" i="1"/>
  <c r="B285" i="3"/>
  <c r="B221" i="1"/>
  <c r="B313" i="1"/>
  <c r="B323" i="3"/>
  <c r="B325" i="3"/>
  <c r="B279" i="1"/>
  <c r="B280" i="1"/>
  <c r="B236" i="1"/>
  <c r="B286" i="1"/>
  <c r="B367" i="3"/>
  <c r="B271" i="3"/>
  <c r="B260" i="4"/>
  <c r="B258" i="4"/>
  <c r="B372" i="3"/>
  <c r="B317" i="3"/>
  <c r="B319" i="4"/>
  <c r="B291" i="4"/>
  <c r="B299" i="3"/>
  <c r="B174" i="1"/>
  <c r="B318" i="1"/>
  <c r="B318" i="3"/>
  <c r="B215" i="1"/>
  <c r="B321" i="1"/>
  <c r="B233" i="3"/>
  <c r="B207" i="1"/>
  <c r="B274" i="1"/>
  <c r="B258" i="3"/>
  <c r="B295" i="1"/>
  <c r="B296" i="1"/>
  <c r="B328" i="3"/>
  <c r="B211" i="3"/>
  <c r="B379" i="4"/>
  <c r="B381" i="4"/>
  <c r="B209" i="3"/>
  <c r="B170" i="4"/>
  <c r="B168" i="4"/>
  <c r="B395" i="4"/>
  <c r="B220" i="1"/>
  <c r="B210" i="1"/>
  <c r="B326" i="1"/>
  <c r="B187" i="1"/>
  <c r="B335" i="1"/>
  <c r="B291" i="3"/>
  <c r="B355" i="3"/>
  <c r="B233" i="1"/>
  <c r="B293" i="1"/>
  <c r="B144" i="1"/>
  <c r="B287" i="1"/>
  <c r="B242" i="3"/>
  <c r="B216" i="3"/>
  <c r="B330" i="3"/>
  <c r="B331" i="4"/>
  <c r="B321" i="4"/>
  <c r="B356" i="3"/>
  <c r="B350" i="4"/>
  <c r="B202" i="1"/>
  <c r="B266" i="1"/>
  <c r="B274" i="3"/>
  <c r="B255" i="1"/>
  <c r="B261" i="1"/>
  <c r="B376" i="3"/>
  <c r="B188" i="1"/>
  <c r="B310" i="1"/>
  <c r="B182" i="3"/>
  <c r="B343" i="1"/>
  <c r="B330" i="1"/>
  <c r="B276" i="3"/>
  <c r="B351" i="3"/>
  <c r="B343" i="4"/>
  <c r="B345" i="4"/>
  <c r="B333" i="3"/>
  <c r="B370" i="3"/>
  <c r="B371" i="4"/>
  <c r="B361" i="4"/>
  <c r="B360" i="3"/>
  <c r="B318" i="4"/>
  <c r="B212" i="1"/>
  <c r="B345" i="1"/>
  <c r="B301" i="3"/>
  <c r="B209" i="1"/>
  <c r="B328" i="1"/>
  <c r="B183" i="3"/>
  <c r="B195" i="1"/>
  <c r="B294" i="1"/>
  <c r="B232" i="3"/>
  <c r="B311" i="1"/>
  <c r="B312" i="1"/>
  <c r="B311" i="3"/>
  <c r="B369" i="3"/>
  <c r="B362" i="4"/>
  <c r="B364" i="4"/>
  <c r="B368" i="3"/>
  <c r="B312" i="4"/>
  <c r="B389" i="4"/>
  <c r="B378" i="4"/>
  <c r="B380" i="3"/>
  <c r="B249" i="1"/>
  <c r="B329" i="1"/>
  <c r="B143" i="1"/>
  <c r="B267" i="1"/>
  <c r="B332" i="1"/>
  <c r="B337" i="3"/>
  <c r="B245" i="1"/>
  <c r="B309" i="1"/>
  <c r="B178" i="1"/>
  <c r="B306" i="1"/>
  <c r="B212" i="3"/>
  <c r="B363" i="3"/>
  <c r="B313" i="3"/>
  <c r="B284" i="4"/>
  <c r="B280" i="4"/>
  <c r="B338" i="3"/>
  <c r="B330" i="4"/>
  <c r="B332" i="4"/>
  <c r="B381" i="3"/>
  <c r="B304" i="3"/>
  <c r="B271" i="1"/>
  <c r="B336" i="1"/>
  <c r="B227" i="1"/>
  <c r="B262" i="1"/>
  <c r="B282" i="3"/>
  <c r="B277" i="3"/>
  <c r="B315" i="1"/>
  <c r="B317" i="1"/>
  <c r="B219" i="1"/>
  <c r="B322" i="1"/>
  <c r="B332" i="3"/>
  <c r="B180" i="3"/>
  <c r="B306" i="4"/>
  <c r="B402" i="4"/>
  <c r="B391" i="4"/>
  <c r="B272" i="3"/>
  <c r="B235" i="4"/>
  <c r="B233" i="4"/>
  <c r="B217" i="3"/>
  <c r="B339" i="4"/>
  <c r="B329" i="4"/>
  <c r="B383" i="3"/>
  <c r="B338" i="4"/>
  <c r="B342" i="4"/>
  <c r="B250" i="4"/>
  <c r="B169" i="4"/>
  <c r="B287" i="3"/>
  <c r="B344" i="4"/>
  <c r="B333" i="4"/>
  <c r="B355" i="5"/>
  <c r="B322" i="5"/>
  <c r="B399" i="5"/>
  <c r="B413" i="4"/>
  <c r="B370" i="5"/>
  <c r="B271" i="5"/>
  <c r="B161" i="5"/>
  <c r="B329" i="5"/>
  <c r="B279" i="5"/>
  <c r="B354" i="5"/>
  <c r="B408" i="5"/>
  <c r="B361" i="5"/>
  <c r="B125" i="3"/>
  <c r="B343" i="3"/>
  <c r="B359" i="4"/>
  <c r="B346" i="4"/>
  <c r="B181" i="3"/>
  <c r="B358" i="4"/>
  <c r="B360" i="4"/>
  <c r="B120" i="3"/>
  <c r="B237" i="5"/>
  <c r="B258" i="5"/>
  <c r="B342" i="5"/>
  <c r="B303" i="5"/>
  <c r="B367" i="5"/>
  <c r="B160" i="3"/>
  <c r="B392" i="5"/>
  <c r="B151" i="3"/>
  <c r="B146" i="5"/>
  <c r="B333" i="5"/>
  <c r="B288" i="5"/>
  <c r="B376" i="5"/>
  <c r="B334" i="4"/>
  <c r="B372" i="4"/>
  <c r="B228" i="3"/>
  <c r="B380" i="4"/>
  <c r="B369" i="4"/>
  <c r="B391" i="5"/>
  <c r="B357" i="5"/>
  <c r="B132" i="5"/>
  <c r="B278" i="5"/>
  <c r="B406" i="5"/>
  <c r="B130" i="3"/>
  <c r="B162" i="5"/>
  <c r="B364" i="5"/>
  <c r="B331" i="5"/>
  <c r="B390" i="5"/>
  <c r="B233" i="5"/>
  <c r="B397" i="5"/>
  <c r="B198" i="5"/>
  <c r="B220" i="4"/>
  <c r="B320" i="4"/>
  <c r="B253" i="3"/>
  <c r="B344" i="3"/>
  <c r="B327" i="4"/>
  <c r="B317" i="4"/>
  <c r="B338" i="5"/>
  <c r="B297" i="5"/>
  <c r="B381" i="5"/>
  <c r="B385" i="3"/>
  <c r="B352" i="5"/>
  <c r="B161" i="3"/>
  <c r="B137" i="5"/>
  <c r="B311" i="5"/>
  <c r="B257" i="5"/>
  <c r="B337" i="5"/>
  <c r="B343" i="5"/>
  <c r="B196" i="5"/>
  <c r="B149" i="5"/>
  <c r="B150" i="5"/>
  <c r="B42" i="1"/>
  <c r="B51" i="1"/>
  <c r="B63" i="1"/>
  <c r="B408" i="4"/>
  <c r="B370" i="4"/>
  <c r="B404" i="4"/>
  <c r="B361" i="3"/>
  <c r="B225" i="4"/>
  <c r="B409" i="4"/>
  <c r="B330" i="5"/>
  <c r="B393" i="5"/>
  <c r="B133" i="5"/>
  <c r="B127" i="3"/>
  <c r="B122" i="3"/>
  <c r="B263" i="5"/>
  <c r="B405" i="5"/>
  <c r="B366" i="5"/>
  <c r="B163" i="5"/>
  <c r="B140" i="3"/>
  <c r="B317" i="5"/>
  <c r="B274" i="5"/>
  <c r="B375" i="3"/>
  <c r="B248" i="4"/>
  <c r="B407" i="4"/>
  <c r="B308" i="3"/>
  <c r="B251" i="4"/>
  <c r="B249" i="4"/>
  <c r="B286" i="5"/>
  <c r="B241" i="5"/>
  <c r="B345" i="5"/>
  <c r="B282" i="5"/>
  <c r="B261" i="5"/>
  <c r="B380" i="5"/>
  <c r="B136" i="5"/>
  <c r="B243" i="5"/>
  <c r="B134" i="3"/>
  <c r="B298" i="5"/>
  <c r="B139" i="3"/>
  <c r="B371" i="5"/>
  <c r="B148" i="5"/>
  <c r="B241" i="4"/>
  <c r="B265" i="4"/>
  <c r="B347" i="3"/>
  <c r="B282" i="4"/>
  <c r="B279" i="4"/>
  <c r="B300" i="5"/>
  <c r="B365" i="5"/>
  <c r="B121" i="3"/>
  <c r="B134" i="5"/>
  <c r="B264" i="5"/>
  <c r="B197" i="5"/>
  <c r="B315" i="5"/>
  <c r="B401" i="5"/>
  <c r="B339" i="5"/>
  <c r="B407" i="5"/>
  <c r="B164" i="5"/>
  <c r="B249" i="5"/>
  <c r="B128" i="3"/>
  <c r="B323" i="5"/>
  <c r="B354" i="4"/>
  <c r="B390" i="4"/>
  <c r="B262" i="3"/>
  <c r="B313" i="4"/>
  <c r="B397" i="4"/>
  <c r="B387" i="4"/>
  <c r="B225" i="5"/>
  <c r="B375" i="5"/>
  <c r="B152" i="5"/>
  <c r="B154" i="3"/>
  <c r="B266" i="5"/>
  <c r="B235" i="5"/>
  <c r="B147" i="5"/>
  <c r="B382" i="5"/>
  <c r="B349" i="5"/>
  <c r="B135" i="5"/>
  <c r="B124" i="3"/>
  <c r="B129" i="3"/>
  <c r="B248" i="5"/>
  <c r="B412" i="4"/>
  <c r="B172" i="5"/>
  <c r="B236" i="4"/>
  <c r="B243" i="3"/>
  <c r="B217" i="4"/>
  <c r="B315" i="3"/>
  <c r="B227" i="4"/>
  <c r="B341" i="4"/>
  <c r="B256" i="5"/>
  <c r="B403" i="5"/>
  <c r="B228" i="5"/>
  <c r="B131" i="5"/>
  <c r="B324" i="5"/>
  <c r="B273" i="5"/>
  <c r="B350" i="5"/>
  <c r="B301" i="5"/>
  <c r="B374" i="5"/>
  <c r="B321" i="5"/>
  <c r="B165" i="5"/>
  <c r="B316" i="5"/>
  <c r="B262" i="5"/>
  <c r="B359" i="5"/>
  <c r="B273" i="4"/>
  <c r="B356" i="4"/>
  <c r="B350" i="3"/>
  <c r="B384" i="3"/>
  <c r="B363" i="4"/>
  <c r="B353" i="4"/>
  <c r="B373" i="5"/>
  <c r="B340" i="5"/>
  <c r="B151" i="5"/>
  <c r="B149" i="3"/>
  <c r="B388" i="5"/>
  <c r="B155" i="3"/>
  <c r="B139" i="5"/>
  <c r="B346" i="5"/>
  <c r="B313" i="5"/>
  <c r="B372" i="5"/>
  <c r="B307" i="5"/>
  <c r="B379" i="5"/>
  <c r="B142" i="3"/>
  <c r="B225" i="3"/>
  <c r="B376" i="4"/>
  <c r="B365" i="4"/>
  <c r="B229" i="3"/>
  <c r="B375" i="4"/>
  <c r="B377" i="4"/>
  <c r="B136" i="3"/>
  <c r="B119" i="3"/>
  <c r="B281" i="5"/>
  <c r="B360" i="5"/>
  <c r="B327" i="5"/>
  <c r="B385" i="5"/>
  <c r="B326" i="5"/>
  <c r="B153" i="3"/>
  <c r="B144" i="3"/>
  <c r="B166" i="5"/>
  <c r="B351" i="5"/>
  <c r="B318" i="5"/>
  <c r="B396" i="5"/>
  <c r="B267" i="4"/>
  <c r="B309" i="4"/>
  <c r="B365" i="3"/>
  <c r="B322" i="4"/>
  <c r="B324" i="4"/>
  <c r="B123" i="3"/>
  <c r="B383" i="5"/>
  <c r="B137" i="3"/>
  <c r="B155" i="5"/>
  <c r="B292" i="5"/>
  <c r="B245" i="5"/>
  <c r="B332" i="5"/>
  <c r="B356" i="5"/>
  <c r="B135" i="3"/>
  <c r="B142" i="5"/>
  <c r="B275" i="5"/>
  <c r="B234" i="5"/>
  <c r="B341" i="5"/>
  <c r="B170" i="5"/>
  <c r="B64" i="1"/>
  <c r="B352" i="4"/>
  <c r="B357" i="3"/>
  <c r="B336" i="4"/>
  <c r="B303" i="3"/>
  <c r="B224" i="4"/>
  <c r="B219" i="4"/>
  <c r="B259" i="5"/>
  <c r="B159" i="3"/>
  <c r="B328" i="5"/>
  <c r="B274" i="4"/>
  <c r="B400" i="5"/>
  <c r="B362" i="5"/>
  <c r="B156" i="5"/>
  <c r="B143" i="3"/>
  <c r="B158" i="3"/>
  <c r="B268" i="5"/>
  <c r="B386" i="5"/>
  <c r="B353" i="5"/>
  <c r="B167" i="5"/>
  <c r="B171" i="4"/>
  <c r="B237" i="4"/>
  <c r="B329" i="3"/>
  <c r="B255" i="4"/>
  <c r="B253" i="4"/>
  <c r="B411" i="4"/>
  <c r="B348" i="5"/>
  <c r="B244" i="5"/>
  <c r="B154" i="5"/>
  <c r="B236" i="5"/>
  <c r="B138" i="3"/>
  <c r="B290" i="5"/>
  <c r="B293" i="5"/>
  <c r="B384" i="5"/>
  <c r="B141" i="5"/>
  <c r="B199" i="5"/>
  <c r="B152" i="3"/>
  <c r="B304" i="5"/>
  <c r="B307" i="4"/>
  <c r="B270" i="4"/>
  <c r="B345" i="3"/>
  <c r="B326" i="3"/>
  <c r="B271" i="4"/>
  <c r="B320" i="5"/>
  <c r="B267" i="5"/>
  <c r="B363" i="5"/>
  <c r="B405" i="4"/>
  <c r="B334" i="5"/>
  <c r="B398" i="5"/>
  <c r="B157" i="5"/>
  <c r="B269" i="5"/>
  <c r="B227" i="5"/>
  <c r="B319" i="5"/>
  <c r="B266" i="3"/>
  <c r="B312" i="5"/>
  <c r="B389" i="5"/>
  <c r="B322" i="3"/>
  <c r="B393" i="4"/>
  <c r="B382" i="4"/>
  <c r="B257" i="3"/>
  <c r="B392" i="4"/>
  <c r="B394" i="4"/>
  <c r="B232" i="5"/>
  <c r="B145" i="3"/>
  <c r="B310" i="5"/>
  <c r="B347" i="1"/>
  <c r="B377" i="5"/>
  <c r="B344" i="5"/>
  <c r="B404" i="5"/>
  <c r="B150" i="3"/>
  <c r="B287" i="5"/>
  <c r="B242" i="5"/>
  <c r="B173" i="5"/>
  <c r="B368" i="5"/>
  <c r="B335" i="5"/>
  <c r="B51" i="5"/>
  <c r="B57" i="3"/>
  <c r="B48" i="3"/>
  <c r="B47" i="1"/>
  <c r="B44" i="4"/>
  <c r="B44" i="1"/>
  <c r="B61" i="1"/>
  <c r="B69" i="1"/>
  <c r="B45" i="3"/>
  <c r="B54" i="3"/>
  <c r="B41" i="3"/>
  <c r="B49" i="4"/>
  <c r="B84" i="4"/>
  <c r="B54" i="4"/>
  <c r="B60" i="4"/>
  <c r="B40" i="5"/>
  <c r="B68" i="5"/>
  <c r="B48" i="5"/>
  <c r="B47" i="3"/>
  <c r="B57" i="4"/>
  <c r="B74" i="4"/>
  <c r="B61" i="4"/>
  <c r="B62" i="5"/>
  <c r="B70" i="5"/>
  <c r="B56" i="5"/>
  <c r="B52" i="5"/>
  <c r="B43" i="5"/>
  <c r="B60" i="5"/>
  <c r="B58" i="5"/>
  <c r="B52" i="3"/>
  <c r="B44" i="3"/>
  <c r="B53" i="3"/>
  <c r="B47" i="4"/>
  <c r="B65" i="4"/>
  <c r="B63" i="5"/>
  <c r="B77" i="4"/>
  <c r="B69" i="5"/>
  <c r="B56" i="1"/>
  <c r="B39" i="3"/>
  <c r="B54" i="1"/>
  <c r="B43" i="1"/>
  <c r="B67" i="1"/>
  <c r="B56" i="3"/>
  <c r="B55" i="3"/>
  <c r="B60" i="3"/>
  <c r="B46" i="1"/>
  <c r="B52" i="1"/>
  <c r="B62" i="1"/>
  <c r="B49" i="3"/>
  <c r="B61" i="3"/>
  <c r="B45" i="1"/>
  <c r="B45" i="4"/>
  <c r="B64" i="4"/>
  <c r="B58" i="4"/>
  <c r="B76" i="4"/>
  <c r="B42" i="5"/>
  <c r="B41" i="5"/>
  <c r="B54" i="5"/>
  <c r="B55" i="5"/>
  <c r="B63" i="4"/>
  <c r="B56" i="4"/>
  <c r="B52" i="4"/>
  <c r="B65" i="5"/>
  <c r="B61" i="5"/>
  <c r="B70" i="1"/>
  <c r="B40" i="3"/>
  <c r="B59" i="1"/>
  <c r="B50" i="3"/>
  <c r="B83" i="4"/>
  <c r="B55" i="4"/>
  <c r="B46" i="5"/>
  <c r="B44" i="5"/>
  <c r="B140" i="5"/>
  <c r="B49" i="5"/>
  <c r="B64" i="3"/>
  <c r="B50" i="1"/>
  <c r="B59" i="3"/>
  <c r="B48" i="4"/>
  <c r="B57" i="5"/>
  <c r="B62" i="4"/>
  <c r="B47" i="5"/>
  <c r="B171" i="5"/>
  <c r="B55" i="1"/>
  <c r="B58" i="1"/>
  <c r="B53" i="1"/>
  <c r="B49" i="1"/>
  <c r="B68" i="1"/>
  <c r="B62" i="3"/>
  <c r="B63" i="3"/>
  <c r="B43" i="3"/>
  <c r="B75" i="4"/>
  <c r="B48" i="1"/>
  <c r="B57" i="1"/>
  <c r="B58" i="3"/>
  <c r="B51" i="3"/>
  <c r="B46" i="3"/>
  <c r="B42" i="3"/>
  <c r="B59" i="4"/>
  <c r="B81" i="4"/>
  <c r="B50" i="4"/>
  <c r="B67" i="4"/>
  <c r="B45" i="5"/>
  <c r="B64" i="5"/>
  <c r="B50" i="5"/>
  <c r="B51" i="4"/>
  <c r="B82" i="4"/>
  <c r="B46" i="4"/>
  <c r="B39" i="5"/>
  <c r="B66" i="5"/>
  <c r="B53" i="5"/>
  <c r="B67" i="5"/>
  <c r="B53" i="4"/>
  <c r="B59" i="5"/>
  <c r="B210" i="3" l="1"/>
  <c r="B172" i="1"/>
  <c r="B218" i="4"/>
  <c r="B226" i="5"/>
</calcChain>
</file>

<file path=xl/sharedStrings.xml><?xml version="1.0" encoding="utf-8"?>
<sst xmlns="http://schemas.openxmlformats.org/spreadsheetml/2006/main" count="2314" uniqueCount="1500">
  <si>
    <t>FFB</t>
  </si>
  <si>
    <t>min</t>
  </si>
  <si>
    <t>max</t>
  </si>
  <si>
    <t>FFH</t>
  </si>
  <si>
    <t>wybór</t>
  </si>
  <si>
    <t>sap</t>
  </si>
  <si>
    <t>ilość zaczepów</t>
  </si>
  <si>
    <t>Zasuwn. KSR 690/263 D50 PIN</t>
  </si>
  <si>
    <t>Zasuwn. KSR 890/413 D50 PIN</t>
  </si>
  <si>
    <t>Zasuwn. KSR 1090/513 1V D50 PIN</t>
  </si>
  <si>
    <t>Zasuwn. KSR 1290/563 1V D50 PIN</t>
  </si>
  <si>
    <t>Zasuwn. KSR 1690/563 1V D50 PIN</t>
  </si>
  <si>
    <t>Zasuwn. KSR 1890/1000 2V D50 PIN</t>
  </si>
  <si>
    <t>Zasuwn. KSR 2290/1000 2V D50 PIN</t>
  </si>
  <si>
    <t>Zasuwn. KSR +PZ 1890/1000 2V D50 PIN</t>
  </si>
  <si>
    <t>Zasuwn. KSR +PZ 2290/1000 2V D50 PIN</t>
  </si>
  <si>
    <t>Łącznik M 344 1V NT</t>
  </si>
  <si>
    <t>Zamk. środkowe góra 600-800 NT ALV</t>
  </si>
  <si>
    <t>Zamk. środkowe góra 801-1000 NT ALV</t>
  </si>
  <si>
    <t>Zamk. środkowe góra 1001-1200 NT ALV</t>
  </si>
  <si>
    <t>Zamk. środkowe góra 1201-1400 NT ALV</t>
  </si>
  <si>
    <t>Zamkn. środkowe 1E NT MV600 łączone</t>
  </si>
  <si>
    <t>Zamkn. środ. 200 łącz NTi</t>
  </si>
  <si>
    <t>Przedłużka zasuwn. NT MV400 bez zaczepu</t>
  </si>
  <si>
    <t>Zamkn. środ. 200/E łącz NT</t>
  </si>
  <si>
    <t>Narożnik Ku/r NT/1V</t>
  </si>
  <si>
    <t>Narożnik NT/1E</t>
  </si>
  <si>
    <t>ilość</t>
  </si>
  <si>
    <t xml:space="preserve">ilość </t>
  </si>
  <si>
    <t>Wózek 8 41 L PIN</t>
  </si>
  <si>
    <t>Wózek 8 41 R PIN</t>
  </si>
  <si>
    <t>SAP</t>
  </si>
  <si>
    <t>L/P</t>
  </si>
  <si>
    <t>Jednostka ster. 8 41 L PIN</t>
  </si>
  <si>
    <t>Jednostka ster. 8 41 R PIN</t>
  </si>
  <si>
    <t>Docisk środkowy 8 41 L PIN</t>
  </si>
  <si>
    <t>Docisk środkowy 8 41 R PIN</t>
  </si>
  <si>
    <t>Zasuwnica  bez wkładki bębenkowej</t>
  </si>
  <si>
    <t>Zasuwnica z dodatkową wkładką bębenkową</t>
  </si>
  <si>
    <t>Zamkn. środkowe 1E NTN MV130 łączone</t>
  </si>
  <si>
    <t>__</t>
  </si>
  <si>
    <t>Zamkn.śr.okien łuk. NT 501-700</t>
  </si>
  <si>
    <t>Zamkn. środkowe 1E NT MV600</t>
  </si>
  <si>
    <t>suma rolek na plecach</t>
  </si>
  <si>
    <t>Trzpień docisku środkowego 32.8 PIN Aluplast</t>
  </si>
  <si>
    <t>do drewna?</t>
  </si>
  <si>
    <t>Zaczep docisku MV-SEB</t>
  </si>
  <si>
    <t>Aluplast</t>
  </si>
  <si>
    <t>Zaczep p-wywBlok.bł.obsługiDr/PVC12.2PIN</t>
  </si>
  <si>
    <t>PVC+alu</t>
  </si>
  <si>
    <t>drewno</t>
  </si>
  <si>
    <t>Zaczep docisku MV-SEB Holz</t>
  </si>
  <si>
    <t>Zaczepy</t>
  </si>
  <si>
    <t>Zderzak 14 PIN</t>
  </si>
  <si>
    <t>Odbojnik gumowy 21x8 RAL9005 Inowa</t>
  </si>
  <si>
    <t>PIN ABDECKKAPPE MB R07.2</t>
  </si>
  <si>
    <t>PIN ABDECKKAPPE MB R06.2</t>
  </si>
  <si>
    <t>R06.2 czarny</t>
  </si>
  <si>
    <t>R07.2 biały</t>
  </si>
  <si>
    <t>Roto Patio Inowa</t>
  </si>
  <si>
    <t>Schemat A</t>
  </si>
  <si>
    <t>Schemat A'</t>
  </si>
  <si>
    <t>Schemat C</t>
  </si>
  <si>
    <t>Schemat C'</t>
  </si>
  <si>
    <t>Schemat K</t>
  </si>
  <si>
    <t>Schemat K'</t>
  </si>
  <si>
    <t>Profil</t>
  </si>
  <si>
    <t>Drewno</t>
  </si>
  <si>
    <t>Gealan</t>
  </si>
  <si>
    <t xml:space="preserve">Wybór schematu:                                      </t>
  </si>
  <si>
    <t xml:space="preserve">  Profil:</t>
  </si>
  <si>
    <t>Kierunek otwierania:</t>
  </si>
  <si>
    <t>Ilość:</t>
  </si>
  <si>
    <t>Rodzaj zasuwnicy (z wkładką bębenkową FFH&gt;1801):</t>
  </si>
  <si>
    <t>Proporcje: max 2:1</t>
  </si>
  <si>
    <t>proporcje</t>
  </si>
  <si>
    <t>K</t>
  </si>
  <si>
    <t>H</t>
  </si>
  <si>
    <t>Zaczep p-wyw drewno L</t>
  </si>
  <si>
    <t>Zaczep p-wyw drewno R</t>
  </si>
  <si>
    <t>K Aluplast</t>
  </si>
  <si>
    <t>użyty w katalogu Gebauera</t>
  </si>
  <si>
    <t>Odbojnik gumowy 21X11.5 RAL 9005 Holz</t>
  </si>
  <si>
    <t>Klamka:</t>
  </si>
  <si>
    <t>Zaczep p-wyw PVC 12.2 PIN</t>
  </si>
  <si>
    <t>&lt;-lewe/prawe</t>
  </si>
  <si>
    <t>&lt;-liczba rolek</t>
  </si>
  <si>
    <t>Trzpień docisku środkowego 34.4 PIN Holz</t>
  </si>
  <si>
    <t>Próg AL L=3,2M R01.1-1101 PIN</t>
  </si>
  <si>
    <t>Próg AL L=6,4M R01.1-1101 PIN</t>
  </si>
  <si>
    <t>Uszczelka QL-3006 2,1m BRĄZ RAL8019</t>
  </si>
  <si>
    <t>Uszczelka QL-7000 BRĄZ RAL8019</t>
  </si>
  <si>
    <t>mb</t>
  </si>
  <si>
    <t>x2,1m</t>
  </si>
  <si>
    <t xml:space="preserve">  Kolor osłonek:</t>
  </si>
  <si>
    <t>Klamka 200mm</t>
  </si>
  <si>
    <t>Klamka 200mm 100Nm</t>
  </si>
  <si>
    <t>Klamka 200mm obustronna</t>
  </si>
  <si>
    <t>Kolor klamki:</t>
  </si>
  <si>
    <t>R01.1 Naturalny srebrny</t>
  </si>
  <si>
    <t>R01.2 Nowy srebrny</t>
  </si>
  <si>
    <t>R01.3 Tytan</t>
  </si>
  <si>
    <t>R01.5 Srebrny</t>
  </si>
  <si>
    <t>R05.3 Średni brąz</t>
  </si>
  <si>
    <t>R05.4 Ciemny brąz</t>
  </si>
  <si>
    <t>R05.5 Brązowy</t>
  </si>
  <si>
    <t>R06.2M Czarny Mat</t>
  </si>
  <si>
    <t>R07.2 Biały</t>
  </si>
  <si>
    <t>R07.3 Kremowy</t>
  </si>
  <si>
    <t>Pochwyt od zewnątrz:</t>
  </si>
  <si>
    <t>Klamka R-line 43mm 200 R01.1 ALV</t>
  </si>
  <si>
    <t>Klamka R-line 43mm 200 R01.2 ALV</t>
  </si>
  <si>
    <t>Klamka R-line 43mm 200 R01.3 ALV</t>
  </si>
  <si>
    <t>Klamka R-line 43mm 200 R01.5 ALV</t>
  </si>
  <si>
    <t>Klamka R-line 43mm 200 R05.3 ALV</t>
  </si>
  <si>
    <t>Klamka R-line 43mm 200 R05.4 ALV</t>
  </si>
  <si>
    <t>Klamka R-line 43mm 200 R05.5 ALV</t>
  </si>
  <si>
    <t>Klamka R-line 43mm 200 R06.2M ALV</t>
  </si>
  <si>
    <t>Klamka R-line 43mm 200 R07.2 ALV</t>
  </si>
  <si>
    <t>Klamka R-line 43mm 200 R07.3 ALV</t>
  </si>
  <si>
    <t>Klamka R-line/klucz100Nm43mm200R01.1ALV</t>
  </si>
  <si>
    <t>Klamka R-line/klucz100Nm43mm200R01.2ALV</t>
  </si>
  <si>
    <t>Klamka R-line/klucz100Nm43mm200R01.3ALV</t>
  </si>
  <si>
    <t>Klamka R-line/klucz100Nm43mm200R01.5ALV</t>
  </si>
  <si>
    <t>Klamka R-line/klucz100Nm43mm200R05.3ALV</t>
  </si>
  <si>
    <t>Klamka R-line/klucz100Nm43mm200R05.4ALV</t>
  </si>
  <si>
    <t>Klamka R-line/klucz100Nm43mm200R05.5ALV</t>
  </si>
  <si>
    <t>Klamka R-line/klucz100Nm43mm200R06.2MALV</t>
  </si>
  <si>
    <t>Klamka R-line/klucz100Nm43mm200R07.2ALV</t>
  </si>
  <si>
    <t>Klamka R-line/klucz100Nm43mm200R07.3ALV</t>
  </si>
  <si>
    <t>Klamka R-line/klucz100Nm32mm200R05.5ALV</t>
  </si>
  <si>
    <t>Klamka R-line/klucz100Nm32mm200R06.2MALV</t>
  </si>
  <si>
    <t>Klamka R-line/klucz100Nm32mm200R07.3ALV</t>
  </si>
  <si>
    <t>Klamka R-line/klucz100Nm37mm200R06.2MALV</t>
  </si>
  <si>
    <t>Pochwyt zlicowany PatioLife 43mm R01.3</t>
  </si>
  <si>
    <t>Klamka R-line 32mm 200 R01.1 ALV</t>
  </si>
  <si>
    <t>Klamka R-line 32mm 200 R01.2 ALV</t>
  </si>
  <si>
    <t>Klamka R-line 32mm 200 R01.3 ALV</t>
  </si>
  <si>
    <t>Klamka R-line 32mm 200 R01.5 ALV</t>
  </si>
  <si>
    <t>Klamka R-line 32mm 200 R05.3 ALV</t>
  </si>
  <si>
    <t>Klamka R-line 32mm 200 R05.4 ALV</t>
  </si>
  <si>
    <t>Klamka R-line 32mm 200 R05.5 ALV</t>
  </si>
  <si>
    <t>Klamka R-line 32mm 200 R06.2M ALV</t>
  </si>
  <si>
    <t>Klamka R-line 32mm 200 R07.2 ALV</t>
  </si>
  <si>
    <t>Klamka R-line 32mm 200 R07.3 ALV</t>
  </si>
  <si>
    <t>Klamka R-line 37mm 200 R01.1 ALV</t>
  </si>
  <si>
    <t>Klamka R-line 37mm 200 R01.2 ALV</t>
  </si>
  <si>
    <t>Klamka R-line 37mm 200 R01.3 ALV</t>
  </si>
  <si>
    <t>Klamka R-line 37mm 200 R01.5 ALV</t>
  </si>
  <si>
    <t>Klamka R-line 37mm 200 R05.3 ALV</t>
  </si>
  <si>
    <t>Klamka R-line 37mm 200 R05.4 ALV</t>
  </si>
  <si>
    <t>Klamka R-line 37mm 200 R05.5 ALV</t>
  </si>
  <si>
    <t>Klamka R-line 37mm 200 R06.2M ALV</t>
  </si>
  <si>
    <t>Klamka R-line 37mm 200 R07.2 ALV</t>
  </si>
  <si>
    <t>Klamka R-line 37mm 200 R07.3 ALV</t>
  </si>
  <si>
    <t>Klamka R-line/klucz100Nm32mm200R01.1ALV</t>
  </si>
  <si>
    <t>Klamka R-line/klucz100Nm32mm200R01.2ALV</t>
  </si>
  <si>
    <t>Klamka R-line/klucz100Nm32mm200R01.3ALV</t>
  </si>
  <si>
    <t>Klamka R-line/klucz100Nm32mm200R01.5ALV</t>
  </si>
  <si>
    <t>Klamka R-line/klucz100Nm32mm200R05.3ALV</t>
  </si>
  <si>
    <t>Klamka R-line/klucz100Nm32mm200R05.4ALV</t>
  </si>
  <si>
    <t>Klamka R-line/klucz100Nm32mm200R07.2ALV</t>
  </si>
  <si>
    <t>Klamka R-line/klucz100Nm37mm200R01.1ALV</t>
  </si>
  <si>
    <t>Klamka R-line/klucz100Nm37mm200R01.2ALV</t>
  </si>
  <si>
    <t>Klamka R-line/klucz100Nm37mm200R01.3ALV</t>
  </si>
  <si>
    <t>Klamka R-line/klucz100Nm37mm200R01.5ALV</t>
  </si>
  <si>
    <t>Klamka R-line/klucz100Nm37mm200R05.3ALV</t>
  </si>
  <si>
    <t>Klamka R-line/klucz100Nm37mm200R05.4ALV</t>
  </si>
  <si>
    <t>Klamka R-line/klucz100Nm37mm200R05.5ALV</t>
  </si>
  <si>
    <t>Klamka R-line/klucz100Nm37mm200R07.2ALV</t>
  </si>
  <si>
    <t>Klamka R-line/klucz100Nm37mm200R07.3ALV</t>
  </si>
  <si>
    <t>Klamka R-lineDwustr.nisk100mm200R01.1ALV</t>
  </si>
  <si>
    <t>Klamka R-lineDwustr.nisk100mm200R01.5ALV</t>
  </si>
  <si>
    <t>Klamka R-lineDwustr.nisk100mm200R05.3ALV</t>
  </si>
  <si>
    <t>Klamka R-lineDwustr.nisk100mm200R05.4ALV</t>
  </si>
  <si>
    <t>Klamka R-lineDwustr.nisk100mm200R05.5ALV</t>
  </si>
  <si>
    <t>Klamka R-lineDwustr.nisk100mm200R06.2ALV</t>
  </si>
  <si>
    <t>Klamka R-lineDwustr.nisk100mm200R07.2ALV</t>
  </si>
  <si>
    <t>Klamka R-lineDwustr.nisk100mm200R07.3ALV</t>
  </si>
  <si>
    <t>Klamka R-lineDwustr.nisk135mm200R01.1ALV</t>
  </si>
  <si>
    <t>Klamka R-lineDwustr.nisk135mm200R01.5ALV</t>
  </si>
  <si>
    <t>Klamka R-lineDwustr.nisk135mm200R05.3ALV</t>
  </si>
  <si>
    <t>Klamka R-lineDwustr.nisk135mm200R05.4ALV</t>
  </si>
  <si>
    <t>Klamka R-lineDwustr.nisk135mm200R05.5ALV</t>
  </si>
  <si>
    <t>Klamka R-lineDwustr.nisk135mm200R06.2ALV</t>
  </si>
  <si>
    <t>Klamka R-lineDwustr.nisk135mm200R07.2ALV</t>
  </si>
  <si>
    <t>Klamka R-lineDwustr.nisk135mm200R07.3ALV</t>
  </si>
  <si>
    <t>Pochwyt zlicowany PatioLife 43mm R01.1</t>
  </si>
  <si>
    <t>Pochwyt zlicowany PatioLife 43mm R05.3</t>
  </si>
  <si>
    <t>Pochwyt zlicowany PatioLife 43mm R05.5</t>
  </si>
  <si>
    <t>Pochwyt zlicowany PatioLife 43mm R07.2</t>
  </si>
  <si>
    <t>Trzpień:</t>
  </si>
  <si>
    <t>32mm</t>
  </si>
  <si>
    <t>37mm</t>
  </si>
  <si>
    <t>43mm</t>
  </si>
  <si>
    <t>trzpień</t>
  </si>
  <si>
    <t>rodzaj klamki</t>
  </si>
  <si>
    <t>kolor</t>
  </si>
  <si>
    <t>100mm dwustronna</t>
  </si>
  <si>
    <t>135mm dwustronna</t>
  </si>
  <si>
    <t>brak</t>
  </si>
  <si>
    <t>Artykuł</t>
  </si>
  <si>
    <t>Na zlecenie</t>
  </si>
  <si>
    <t>Ilość szt .</t>
  </si>
  <si>
    <t>schemat Prim</t>
  </si>
  <si>
    <t>Prowadnica L=3,2M R01.1-1101 PIN</t>
  </si>
  <si>
    <t>Prowadnica L=6,4M R01.1-1101 PIN</t>
  </si>
  <si>
    <t>K Gealan</t>
  </si>
  <si>
    <t>Trzpień docisku środkowego 38.4 PIN Gealan</t>
  </si>
  <si>
    <t>Aluplast;Gealan</t>
  </si>
  <si>
    <t>Zasuwn. KSR 690/263 D35 PIN</t>
  </si>
  <si>
    <t>Zasuwn. KSR 890/413 D35 PIN</t>
  </si>
  <si>
    <t>Zasuwn. KSR 1090/513 1V D35 PIN</t>
  </si>
  <si>
    <t>Zasuwn. KSR 1290/563 1V D35 PIN</t>
  </si>
  <si>
    <t>Zasuwn. KSR 1690/563 1V D35 PIN</t>
  </si>
  <si>
    <t>Zasuwn. KSR 1890/1000 2V D35 PIN</t>
  </si>
  <si>
    <t>Zasuwn. KSR 2290/1000 2V D35 PIN</t>
  </si>
  <si>
    <t>Zasuwn. KSR +PZ 1890/1000 2V D35 PIN</t>
  </si>
  <si>
    <t>Zasuwn. KSR +PZ 2290/1000 2V D35 PIN</t>
  </si>
  <si>
    <t>Holz</t>
  </si>
  <si>
    <t>TYLKO PVC</t>
  </si>
  <si>
    <t>TYLKO DREWNO</t>
  </si>
  <si>
    <t>!</t>
  </si>
  <si>
    <t>DOBÓR NIEMOŻLIWY</t>
  </si>
  <si>
    <t>Wymiary:</t>
  </si>
  <si>
    <t>wys gab</t>
  </si>
  <si>
    <t>szer gab</t>
  </si>
  <si>
    <t>FFB szerokość skrzydła na wrębie (min: 710 mm; max: 1500 mm):</t>
  </si>
  <si>
    <t xml:space="preserve">Powrót </t>
  </si>
  <si>
    <t>Rodzaj zasuwnicy w skrzydle czynnym (z wkładką bębenkową FFH&gt;1801):</t>
  </si>
  <si>
    <t>zasuwnica skrzydła biernego</t>
  </si>
  <si>
    <t>zasuwnica skrzydła czynnego</t>
  </si>
  <si>
    <t>Klamka skrzydło czynne:</t>
  </si>
  <si>
    <t>drugie skrzydło</t>
  </si>
  <si>
    <t>drugie skrzdyło</t>
  </si>
  <si>
    <t>pochwyt skrzydło bierne</t>
  </si>
  <si>
    <t>klamka skrzydło bierne</t>
  </si>
  <si>
    <t>drewno wewnątrzjezdne</t>
  </si>
  <si>
    <t>Ciężar skrzydła max 200 kg</t>
  </si>
  <si>
    <t>W przygotowaniu</t>
  </si>
  <si>
    <t>Wysokość ościeżnicy FH:</t>
  </si>
  <si>
    <t>Szerokość ościeżnicy FB:</t>
  </si>
  <si>
    <t>niemożliwe</t>
  </si>
  <si>
    <t>Zasuwn. KSR 690/263 D30 PIN</t>
  </si>
  <si>
    <t>Zasuwn. KSR 890/413 D30 PIN</t>
  </si>
  <si>
    <t>Zasuwn. KSR 1090/513 1V D30 PIN</t>
  </si>
  <si>
    <t>Zasuwn. KSR 1290/563 1V D30 PIN</t>
  </si>
  <si>
    <t>Zasuwn. KSR 1690/563 1V D30 PIN</t>
  </si>
  <si>
    <t>Zasuwn. KSR 1890/1000 2V D30 PIN</t>
  </si>
  <si>
    <t>Zasuwn. KSR 2290/1000 2V D30 PIN</t>
  </si>
  <si>
    <t>Zasuwn. KSR 690/263 D40 PIN</t>
  </si>
  <si>
    <t>Zasuwn. KSR 890/413 D40 PIN</t>
  </si>
  <si>
    <t>Zasuwn. KSR 1090/513 1V D40 PIN</t>
  </si>
  <si>
    <t>Zasuwn. KSR 1290/563 1V D40 PIN</t>
  </si>
  <si>
    <t>Zasuwn. KSR 1690/563 1V D40 PIN</t>
  </si>
  <si>
    <t>Zasuwn. KSR 1890/1000 2V D40 PIN</t>
  </si>
  <si>
    <t>Zasuwn. KSR 2290/1000 2V D40 PIN</t>
  </si>
  <si>
    <t>Zasuwn. KSR 690/263 D25 PIN</t>
  </si>
  <si>
    <t>Zasuwn. KSR 890/413 D25 PIN</t>
  </si>
  <si>
    <t>Zasuwn. KSR 1090/513 1V D25 PIN</t>
  </si>
  <si>
    <t>Zasuwn. KSR 1290/563 1V D25 PIN</t>
  </si>
  <si>
    <t>Zasuwn. KSR 1690/563 1V D25 PIN</t>
  </si>
  <si>
    <t>Zasuwn. KSR 1890/1000 2V D25 PIN</t>
  </si>
  <si>
    <t>Zasuwn. KSR 2290/1000 2V D25 PIN</t>
  </si>
  <si>
    <t>Zasuwn. KSR +PZ 1890/1000 2V D25 PIN</t>
  </si>
  <si>
    <t>Zasuwn. KSR +PZ 2290/1000 2V D25 PIN</t>
  </si>
  <si>
    <t>Zasuwn. KSR +PZ 1890/1000 2V D30 PIN</t>
  </si>
  <si>
    <t>Zasuwn. KSR +PZ 2290/1000 2V D30 PIN</t>
  </si>
  <si>
    <t>Zasuwn. KSR +PZ 1890/1000 2V D40 PIN</t>
  </si>
  <si>
    <t>Zasuwn. KSR +PZ 2290/1000 2V D40 PIN</t>
  </si>
  <si>
    <t>Dornmass:</t>
  </si>
  <si>
    <t>Dornmass</t>
  </si>
  <si>
    <t>Warunek klamki</t>
  </si>
  <si>
    <t>Dornmass - skrzydło czynne:</t>
  </si>
  <si>
    <t>Dornmass skrz. Czynne</t>
  </si>
  <si>
    <t>Donrmass skrz. Bierne</t>
  </si>
  <si>
    <t>Warunek skrzydło czynne:</t>
  </si>
  <si>
    <t>Warunek skrzydło bierne</t>
  </si>
  <si>
    <t>Dornmass - skrzydło bierne:</t>
  </si>
  <si>
    <t>pochwyt skrzydło czynne</t>
  </si>
  <si>
    <t>BIERNE</t>
  </si>
  <si>
    <t xml:space="preserve">Wózek DR 8 41 L PIN </t>
  </si>
  <si>
    <t xml:space="preserve">Wózek DR 8 41 R PIN </t>
  </si>
  <si>
    <t>Jednostka ster. DR 8 41 L PIN</t>
  </si>
  <si>
    <t>Jednostka ster. DR 8 41 R PIN</t>
  </si>
  <si>
    <t>Docisk środkowy DR 8 41 L PIN</t>
  </si>
  <si>
    <t>Docisk środkowy DR 8 41 R PIN</t>
  </si>
  <si>
    <t>Zaczep p-wyw drewno/PVC Schemat C 15,7 P</t>
  </si>
  <si>
    <t>Dobór Roto Patio Inowa, schemat A</t>
  </si>
  <si>
    <t>FFH=</t>
  </si>
  <si>
    <t>FFB=</t>
  </si>
  <si>
    <t>Dobór Roto Patio Inowa, schemat A'</t>
  </si>
  <si>
    <t>Dobór Roto Patio Inowa, schemat C</t>
  </si>
  <si>
    <t>Dobór Roto Patio Inowa, schemat C'</t>
  </si>
  <si>
    <t>Lewe --&gt;</t>
  </si>
  <si>
    <t>Prawe &lt;--</t>
  </si>
  <si>
    <t>Przymiar wiert. wózka/jedno.ster.41 PIN</t>
  </si>
  <si>
    <t>Przymiar wiert. docisku międzyzaw.41 PIN</t>
  </si>
  <si>
    <t>Przymiar ustaw. zaczepu p-wyw PIN</t>
  </si>
  <si>
    <t>sKlucz do regulacji V NT</t>
  </si>
  <si>
    <t>sKlamka montażowa 75mm NT</t>
  </si>
  <si>
    <t>Kierunek</t>
  </si>
  <si>
    <t>ilość:</t>
  </si>
  <si>
    <t>Przymiar wiert.zacz.docisk.międzyzaw.PIN 104mm</t>
  </si>
  <si>
    <t>Przymiar wiert.zacz.docisk.międzyzaw.PIN 84mm</t>
  </si>
  <si>
    <t>SAP:</t>
  </si>
  <si>
    <t>Zamówienie szablonów i dokumentacji</t>
  </si>
  <si>
    <t>Certyfikat</t>
  </si>
  <si>
    <t>Rejestr zmian</t>
  </si>
  <si>
    <t>Data</t>
  </si>
  <si>
    <t>Co było zmieniane</t>
  </si>
  <si>
    <t>Kto zgłosił</t>
  </si>
  <si>
    <t>zaczep w schematach C i C' - 608824</t>
  </si>
  <si>
    <t>dodane opisy do doborów z wymiarami</t>
  </si>
  <si>
    <t>Dodane szablony</t>
  </si>
  <si>
    <t>Słupek 104mm 140045</t>
  </si>
  <si>
    <t>Słupek 84mm 140041</t>
  </si>
  <si>
    <t>Poprawione ilość docisków w zakresie 2201-2400 -3 szt.; 2401-2500 - 4 szt.</t>
  </si>
  <si>
    <t>R. Popławski</t>
  </si>
  <si>
    <t>sSzablon frez. pochwytu PATIO LIFE</t>
  </si>
  <si>
    <t>Dodany szablon Pochwytu Patio Life</t>
  </si>
  <si>
    <t>M. Micek</t>
  </si>
  <si>
    <t>Roto Patio Inowa Schemat A</t>
  </si>
  <si>
    <t>Roto Patio Inowa Schemat A'</t>
  </si>
  <si>
    <t>Roto Patio Inowa Schemat C</t>
  </si>
  <si>
    <t>Roto Patio Inowa Schemat C'</t>
  </si>
  <si>
    <t>Zestaw wkrętów M5X100 (2szt.)HS</t>
  </si>
  <si>
    <t>Dodane wkręty do pochwytów M5x100</t>
  </si>
  <si>
    <t>D. Rimvydas</t>
  </si>
  <si>
    <t>Schematy A', - dobór L -&gt; zmiana na dobór elementów R i to samo dla doboru R</t>
  </si>
  <si>
    <t>trzpień:</t>
  </si>
  <si>
    <t>P. Dolman</t>
  </si>
  <si>
    <t>Dodana informacja, aby dla Schematów A i C w profilach Aluplast i Gealan stosować klamkę 37 mm)</t>
  </si>
  <si>
    <t>E. Targosz</t>
  </si>
  <si>
    <t>Ukryte wkręty do polaczenia klamka -pochwyt</t>
  </si>
  <si>
    <t>K.Nowak</t>
  </si>
  <si>
    <t>Zmieniony kolor pochwytu w opcjach wyboru z R 01.2 na R01.3 - błąd</t>
  </si>
  <si>
    <t>Poprawiona zasuwnica z wkładką w przedziale 2001-2200 dla schematu A</t>
  </si>
  <si>
    <t>J. Romanowski</t>
  </si>
  <si>
    <t>Zmienione szerokości wyliczenie szerokości skrzydeł na wrębie</t>
  </si>
  <si>
    <t>Dodana informacja w przypadku niepoprawnej szerokości skrzydeł o braku doboru zamknięć środkowych</t>
  </si>
  <si>
    <t>Zaczep blok.bł.obsługi drewno/PVC12.2PIN</t>
  </si>
  <si>
    <t>Pochwyt zew. 43MM R06.2 IS</t>
  </si>
  <si>
    <t>R06.2 Czarny (pochwyt IS)</t>
  </si>
  <si>
    <t>Dodany pochwyt od IS w kolorze R06.2</t>
  </si>
  <si>
    <t>K. Nowak</t>
  </si>
  <si>
    <t>Wymieniony zaczep p-wyw blokady blednego położenia klamki na zwykly - tańszy; 798225-&gt;788175</t>
  </si>
  <si>
    <t>P.Dolman</t>
  </si>
  <si>
    <t>Dodane po 2 szt. MV 130 do doboru na jedno skrzydło</t>
  </si>
  <si>
    <t>Zmieniony zakres dla stosowania ilości elementów ryglujących na pionie (uwzględniony wymiar 2200 włącznie)</t>
  </si>
  <si>
    <t>Uzupełniamy żółte pola ↓</t>
  </si>
  <si>
    <t>PL</t>
  </si>
  <si>
    <t>DE</t>
  </si>
  <si>
    <t>ENG</t>
  </si>
  <si>
    <t>EN</t>
  </si>
  <si>
    <t>prawidłowe</t>
  </si>
  <si>
    <t>Aluplast -&gt; klamka z trzpieniem 37mm</t>
  </si>
  <si>
    <t>Roto Patio Inowa Schema A</t>
  </si>
  <si>
    <t>nieprawidłowe</t>
  </si>
  <si>
    <t>correct</t>
  </si>
  <si>
    <t>incorrect</t>
  </si>
  <si>
    <t>Return</t>
  </si>
  <si>
    <t>Züruck</t>
  </si>
  <si>
    <t>NT KSR GTR DK 690 263 D30</t>
  </si>
  <si>
    <t>PIN KSR-ESPAG 690/263 BS30</t>
  </si>
  <si>
    <t>NT KSR GTR DK 890 413 D30</t>
  </si>
  <si>
    <t>PIN KSR-ESPAG 890/413 BS30</t>
  </si>
  <si>
    <t>NT KSR GTR DK 1090 513 D30 1V</t>
  </si>
  <si>
    <t>PIN KSR-ESPAG 1090/513 1V BS30</t>
  </si>
  <si>
    <t>NT KSR GTR DK 1290 563 D30 1V</t>
  </si>
  <si>
    <t>PIN KSR-ESPAG 1290/563 1V BS30</t>
  </si>
  <si>
    <t>NT KSR GTR DK 1690 563 D30 1V</t>
  </si>
  <si>
    <t>PIN KSR-ESPAG 1690/563 1V BS30</t>
  </si>
  <si>
    <t>NT KSR GTR DK 1890 1000 D30 2V</t>
  </si>
  <si>
    <t>PIN KSR-ESPAG 1890/1000 2V BS30</t>
  </si>
  <si>
    <t>NT KSR GTR DK 2290 1000 D30 2V</t>
  </si>
  <si>
    <t>PIN KSR-ESPAG 2290/1000 2V BS30</t>
  </si>
  <si>
    <t>NT KSR GTR DK 690 263 D40</t>
  </si>
  <si>
    <t>PIN KSR-ESPAG. 690/263 BS40</t>
  </si>
  <si>
    <t>NT KSR GTR DK 890 413 D40</t>
  </si>
  <si>
    <t>PIN KSR-ESPAG. 890/413 BS40</t>
  </si>
  <si>
    <t>NT KSR GTR DK 1090 513 D40 1V</t>
  </si>
  <si>
    <t>PIN KSR-ESPAG. 1090/513 1V BS40</t>
  </si>
  <si>
    <t>NT KSR GTR DK 1290 563 D40 1V</t>
  </si>
  <si>
    <t>PIN KSR-ESPAG. 1290/563 1V BS40</t>
  </si>
  <si>
    <t>NT KSR GTR DK 1690 563 D40 1V</t>
  </si>
  <si>
    <t>PIN KSR-ESPAG. 1690/563 1V BS40</t>
  </si>
  <si>
    <t>NT KSR GTR DK 1890 1000 D40 2V</t>
  </si>
  <si>
    <t>PIN KSR-ESPAG. 1890/1000 2V BS40</t>
  </si>
  <si>
    <t>NT KSR GTR DK 2290 1000 D40 2V</t>
  </si>
  <si>
    <t>PIN KSR-ESPAG. 2290/1000 2V BS40</t>
  </si>
  <si>
    <t>NT KSR GTR DK 690 263 D35</t>
  </si>
  <si>
    <t>PIN KSR-ESPAGN. 690/263 BS35</t>
  </si>
  <si>
    <t>NT KSR GTR DK 890 413 D35</t>
  </si>
  <si>
    <t>PIN KSR-ESPAGNOLETTE 890 2V BS35</t>
  </si>
  <si>
    <t>NT KSR GTR DK 1090 513 D35 1V</t>
  </si>
  <si>
    <t>PIN KSR-ESPAGNOLETTE 1090 1V BS35</t>
  </si>
  <si>
    <t>NT KSR GTR DK 1290 563 D35 1V</t>
  </si>
  <si>
    <t>PIN KSR-ESPAGNOLETTE 1290 1V BS35</t>
  </si>
  <si>
    <t>NT KSR GTR DK 1690 563 D35 1V</t>
  </si>
  <si>
    <t>PIN KSR-ESPAGNOLETTE 1690 2V BS35</t>
  </si>
  <si>
    <t>NT KSR GTR DK 1890 1000 D35 2V</t>
  </si>
  <si>
    <t>PIN KSR-ESPAGNOLETTE 1890 2V BS35</t>
  </si>
  <si>
    <t>NT KSR GTR DK 2290 1000 D35 3V</t>
  </si>
  <si>
    <t>PIN KSR-ESPAGNOLETTE 2290 2V BS35</t>
  </si>
  <si>
    <t>NT KSR GTR PIN 1890 1000 D35 2V ASB</t>
  </si>
  <si>
    <t>PIN KSR-ESPAGN. 1890 LOCKABLE 2V BS35</t>
  </si>
  <si>
    <t>NT KSR GTR PIN 2290 1000 D35 2V ASB</t>
  </si>
  <si>
    <t>PIN KSR-ESPAGN. 2290 LOCKABLE 3V BS35</t>
  </si>
  <si>
    <t>NT KSR GTR DK 690 263 D50</t>
  </si>
  <si>
    <t>PIN KSR-ESPAG 690/263 BS50</t>
  </si>
  <si>
    <t>NT KSR GTR DK 890 413 D50</t>
  </si>
  <si>
    <t>PIN KSR-ESPAG 890/413 BS50</t>
  </si>
  <si>
    <t>NT KSR GTR DK 1090 513 D50 1V</t>
  </si>
  <si>
    <t>PIN KSR-ESPAG 1090/513 1V BS50</t>
  </si>
  <si>
    <t>NT KSR GTR DK 1290 563 D50 1V</t>
  </si>
  <si>
    <t>PIN KSR-ESPAG 1290/563 1V BS50</t>
  </si>
  <si>
    <t>NT KSR GTR DK 1690 563 D50 1V</t>
  </si>
  <si>
    <t>PIN KSR-ESPAG 1690/563 1V BS50</t>
  </si>
  <si>
    <t>NT KSR GTR DK 1890 1000 D50 2V</t>
  </si>
  <si>
    <t>PIN KSR-ESPAG 1890/1000 2V BS50</t>
  </si>
  <si>
    <t>NT KSR GTR DK 2290 1000 D50 2V</t>
  </si>
  <si>
    <t>PIN KSR-ESPAG 2290/1000 2V BS50</t>
  </si>
  <si>
    <t>NT KSR GTR PIN 1890 1000 D50 2V ASB</t>
  </si>
  <si>
    <t>PIN KSR-ESPAGN. 1890 LOCKABLE 2V BS50</t>
  </si>
  <si>
    <t>NT KSR GTR PIN 2290 1000 D50 2V ASB</t>
  </si>
  <si>
    <t>PIN KSR-ESPAGN. 2290 LOCKABLE 2V BS50</t>
  </si>
  <si>
    <t>MV 200 KB KPL........NTi</t>
  </si>
  <si>
    <t>NTi COMPLETE CENTRE LOCK 200, CLAMPABLE</t>
  </si>
  <si>
    <t>MV 400 KB        NT</t>
  </si>
  <si>
    <t>NT CENTRE LOCK 400 CLAMPABLE  PLF</t>
  </si>
  <si>
    <t>NT KUL M 344 1V</t>
  </si>
  <si>
    <t>KUPPLUNG M VERZAHNUNG 344 1V NT</t>
  </si>
  <si>
    <t>NT KOT RB 480 AUL RSIL</t>
  </si>
  <si>
    <t>NT HOR. ARCHED COMPONENT 480 1E</t>
  </si>
  <si>
    <t>MV-BAUT PAT 100/160S NT 590 WAAGR O</t>
  </si>
  <si>
    <t>CL COMP PAT 100/160S NT 590 HORIZ. TOP</t>
  </si>
  <si>
    <t>MV-BAUT PATL NT 790 WAAGR O</t>
  </si>
  <si>
    <t>CL COMP PAT 100/160S NT 790 HORIZ. TOP</t>
  </si>
  <si>
    <t>MV-BAUT PATL NT 990 WAAGR O</t>
  </si>
  <si>
    <t>CL COMP PAT 100/160S NT 990 HORIZ. TOP</t>
  </si>
  <si>
    <t>MV-BAUT PATL NT 1190 WAAGR O</t>
  </si>
  <si>
    <t>CL COMP PAT 100/160S NT 1190 HORIZ. TOP</t>
  </si>
  <si>
    <t>MV 600 1E           NT       .N401A21206</t>
  </si>
  <si>
    <t>NT CENTRE LOCK 600, 1E</t>
  </si>
  <si>
    <t>MV 200 1E KB NT</t>
  </si>
  <si>
    <t>NT CENTRE LOCK 200, 1E, CLAMPABLE</t>
  </si>
  <si>
    <t>MV 600 1E KB        NT       .N401A21216</t>
  </si>
  <si>
    <t>NT CENTRE LOCK 600, 1E, Connectable</t>
  </si>
  <si>
    <t>ECUML.1V (2160)        NT    .N400A01106</t>
  </si>
  <si>
    <t>NT CORNER DRIVE, 1V, (2160)</t>
  </si>
  <si>
    <t>ECUML. 1E (2160)       NT    .N400A01206</t>
  </si>
  <si>
    <t>NT CORNER DRIVE, 1E, (2160)</t>
  </si>
  <si>
    <t>PIN LAUFWAGEN 8 41 L</t>
  </si>
  <si>
    <t>PIN BOGIE 8 41 L</t>
  </si>
  <si>
    <t>PIN LAUFWAGEN 8 41 R</t>
  </si>
  <si>
    <t>PIN BOGIE 8 41 R</t>
  </si>
  <si>
    <t>PIN H LAUFWAGEN 8 41 L</t>
  </si>
  <si>
    <t>PIN T BOGIE 8 41 L</t>
  </si>
  <si>
    <t>PIN H LAUFWAGEN 8 41 R</t>
  </si>
  <si>
    <t>PIN T BOGIE 8 41 R</t>
  </si>
  <si>
    <t>PIN STEUEREINHEIT 8 41 L</t>
  </si>
  <si>
    <t>PIN CONTROL UNIT 8 41 L</t>
  </si>
  <si>
    <t>PIN STEUEREINHEIT 8 41 R</t>
  </si>
  <si>
    <t>PIN CONTROL UNIT 8 41 R</t>
  </si>
  <si>
    <t>PIN H STEUEREINHEIT 8 41 L</t>
  </si>
  <si>
    <t>PIN T CONTROL UNIT 8 41 L</t>
  </si>
  <si>
    <t>PIN H STEUEREINHEIT 8 41 R</t>
  </si>
  <si>
    <t>PIN T CONTROL UNIT 8 41 R</t>
  </si>
  <si>
    <t>PIN MITTELSCHLIESSER 8 41 L</t>
  </si>
  <si>
    <t>PIN CENTRE CLOSER 8 41 L</t>
  </si>
  <si>
    <t>PIN MITTELSCHLIESSER 8 41 R</t>
  </si>
  <si>
    <t>PIN CENTRE CLOSER 8 41 R</t>
  </si>
  <si>
    <t>PIN H MITTELSCHLIESSER 8 41 L</t>
  </si>
  <si>
    <t>PIN T CENTRE CLOSER 8 41 L</t>
  </si>
  <si>
    <t>PIN H MITTELSCHLIESSER 8 41 R</t>
  </si>
  <si>
    <t>PIN T CENTRE CLOSER 8 41 R</t>
  </si>
  <si>
    <t>MV 130 KB 1E NTN</t>
  </si>
  <si>
    <t>MV 130 CONNECTABLE 1E NTN</t>
  </si>
  <si>
    <t>PIN SCHLIESSZAPFEN 32.8X8</t>
  </si>
  <si>
    <t>PIN SCHLIESSZAPFEN 38.4X8</t>
  </si>
  <si>
    <t>PIN SCHLIESSZAPFEN 34.4</t>
  </si>
  <si>
    <t>PIN LOCKING CAM 34.4</t>
  </si>
  <si>
    <t>PIN SST MITTELBRUCH KPL</t>
  </si>
  <si>
    <t>PIN STRIKER CENTER CPL</t>
  </si>
  <si>
    <t>PIN H SST MB</t>
  </si>
  <si>
    <t>PIN T STRIKER MB</t>
  </si>
  <si>
    <t>PIN HK SH-SST FEHLBED. 12.2</t>
  </si>
  <si>
    <t>PIN TIMBER MISSHANDLING SEC STRIKER 12.2</t>
  </si>
  <si>
    <t>PIN HK SST FEHLBED. 12.2</t>
  </si>
  <si>
    <t>PIN MISSHANDLING STRIKER 12.2</t>
  </si>
  <si>
    <t>PIN HK SST 12.2</t>
  </si>
  <si>
    <t>PIN STRIKER 12.2</t>
  </si>
  <si>
    <t>PIN H SST LINKS</t>
  </si>
  <si>
    <t>PIN T STRIKER LEFT</t>
  </si>
  <si>
    <t>PIN H SST RECHTS</t>
  </si>
  <si>
    <t>PIN T STRIKER RIGHT</t>
  </si>
  <si>
    <t>PIN HK SST Schema C 15,7</t>
  </si>
  <si>
    <t>PIN T/PVC STRIKER DIAGRAM C 15.7</t>
  </si>
  <si>
    <t>PIN Anschlag 14</t>
  </si>
  <si>
    <t>PIN STOPPER 14</t>
  </si>
  <si>
    <t>Gummipuffer 21x8 Inowa, RAL9005</t>
  </si>
  <si>
    <t>Rubber Stop 21x15 IS Inowa, RAL9005</t>
  </si>
  <si>
    <t>PIN H GUMMIPUFFER 21X11.5 RAL 9005</t>
  </si>
  <si>
    <t>PIN T RUBBER BUFFER</t>
  </si>
  <si>
    <t>PIN COVER CAP MULLION R06.2M</t>
  </si>
  <si>
    <t>PIN COVER CAP MULLION R07.2</t>
  </si>
  <si>
    <t>PIN HK L-SCHIENE EW L=3,2M R01.1-1101</t>
  </si>
  <si>
    <t>PIN TIMB R-RAIL DRAIN L=3.2M R01.1-1101</t>
  </si>
  <si>
    <t>PIN HK L-SCHIENE EW L=6,4M R01.1-1101</t>
  </si>
  <si>
    <t>PIN TIMB R-RAIL DRAIN L=6.4M R01.1-1101</t>
  </si>
  <si>
    <t>PIN F.-SCHIENE L=3,2M R01.1-1101</t>
  </si>
  <si>
    <t>PAT INOWA GUIDE TRACK L=3.2M</t>
  </si>
  <si>
    <t>PIN F.-SCHIENE L=6,4M R01.1-1101</t>
  </si>
  <si>
    <t>PAT INOWA GUIDE TRACK L=6.4M</t>
  </si>
  <si>
    <t>Dichtung schwarz 100m VSL</t>
  </si>
  <si>
    <t>Bubble seal Black 100 metres</t>
  </si>
  <si>
    <t>Bürstendichtung 550m VSL</t>
  </si>
  <si>
    <t>Pile seal at 550 meters</t>
  </si>
  <si>
    <t>ROL PALV STD 32 ML 200 R011</t>
  </si>
  <si>
    <t>ROL ALV GR 32 200 M. L. R01.1</t>
  </si>
  <si>
    <t>ROL PALV STD 32 ML 200 R012</t>
  </si>
  <si>
    <t>ROL ALV GR 32 200 M. L. R01.2</t>
  </si>
  <si>
    <t>ROL PALV STD 32 ML 200 R013</t>
  </si>
  <si>
    <t>ROL ALV GR 32 200 M. L. R01.3</t>
  </si>
  <si>
    <t>ROL PALV STD 32 ML 200 R015</t>
  </si>
  <si>
    <t>ROL ALV GR 32 200 M. L. R01.5</t>
  </si>
  <si>
    <t>ROL PALV STD 32 ML 200 R053</t>
  </si>
  <si>
    <t>ROL ALV GR 32 200 M. L. R05.3</t>
  </si>
  <si>
    <t>ROL PALV STD 32 ML 200 R054</t>
  </si>
  <si>
    <t>ROL ALV GR 32 200 M. L. R05.4</t>
  </si>
  <si>
    <t>ROL PALV STD 32 ML 200 R055</t>
  </si>
  <si>
    <t>ROL ALV GR 32 200 M. L. R05.5</t>
  </si>
  <si>
    <t>ROL PALV STD 32 ML 200 R062M</t>
  </si>
  <si>
    <t>ROL ALV GR 32 200 M. L. R06.2M</t>
  </si>
  <si>
    <t>ROL PALV STD 40 ML 200 R072</t>
  </si>
  <si>
    <t>ROL ALV GR 40 200 M. L. R07.2</t>
  </si>
  <si>
    <t>ROL PALV STD 32 ML 200 R073</t>
  </si>
  <si>
    <t>ROL ALV GR 32 200 M. L. R07.3</t>
  </si>
  <si>
    <t>ROL PALV STD 37 ML 200 R011</t>
  </si>
  <si>
    <t>ROL ALV GR 37 200 M. L. R01.1</t>
  </si>
  <si>
    <t>ROL PALV STD 37 ML 200 R012</t>
  </si>
  <si>
    <t>ROL ALV GR 37 200 M. L. R01.2</t>
  </si>
  <si>
    <t>ROL PALV STD 37 ML 200 R013</t>
  </si>
  <si>
    <t>ROL ALV GR 37 200 M. L. R01.3</t>
  </si>
  <si>
    <t>ROL PALV STD 37 ML 200 R015</t>
  </si>
  <si>
    <t>ROL ALV GR 37 200 M. L. R01.5</t>
  </si>
  <si>
    <t>ROL PALV STD 37 ML 200 R053</t>
  </si>
  <si>
    <t>ROL ALV GR 37 200 M. L. R05.3</t>
  </si>
  <si>
    <t>ROL PALV STD 37 ML 200 R054</t>
  </si>
  <si>
    <t>ROL ALV GR 37 200 M. L. R05.4</t>
  </si>
  <si>
    <t>ROL PALV STD 37 ML 200 R055</t>
  </si>
  <si>
    <t>ROL ALV GR 37 200 M. L. R05.5</t>
  </si>
  <si>
    <t>ROL PALV STD 37 ML 200 R062M</t>
  </si>
  <si>
    <t>ROL ALV GR 37 200 M. L. R06.2M</t>
  </si>
  <si>
    <t>ROL PALV STD 37 ML 200 R072</t>
  </si>
  <si>
    <t>ROL ALV GR 37 200 M. L. R07.2</t>
  </si>
  <si>
    <t>ROL PALV STD 37 ML 200 R073</t>
  </si>
  <si>
    <t>ROL ALV GR 37 200 M. L. R07.3</t>
  </si>
  <si>
    <t>ROL PALV STD 43 ML 200 R011</t>
  </si>
  <si>
    <t>ROL ALV GR 43 200 M. L. R01.1</t>
  </si>
  <si>
    <t>ROL PALV STD 43 ML 200 R012</t>
  </si>
  <si>
    <t>ROL ALV GR 43 200 M. L. R01.2</t>
  </si>
  <si>
    <t>ROL PALV STD 43 ML 200 R013</t>
  </si>
  <si>
    <t>ROL ALV GR 43 200 M. L. R01.3</t>
  </si>
  <si>
    <t>ROL PALV STD 43 ML 200 R015</t>
  </si>
  <si>
    <t>ROL ALV GR 43 200 M. L. R01.5</t>
  </si>
  <si>
    <t>ROL PALV STD 43 ML 200 R053</t>
  </si>
  <si>
    <t>ROL ALV GR 43 200 M. L. R05.3</t>
  </si>
  <si>
    <t>ROL PALV STD 43 ML 200 R054</t>
  </si>
  <si>
    <t>ROL ALV GR 43 200 M. L. R05.4</t>
  </si>
  <si>
    <t>ROL PALV STD 43 ML 200 R055</t>
  </si>
  <si>
    <t>ROL ALV GR 43 200 M. L. R05.5</t>
  </si>
  <si>
    <t>ROL PALV STD 43 ML 200 R062M</t>
  </si>
  <si>
    <t>ROL ALV GR 43 200 M. L. R06.2M</t>
  </si>
  <si>
    <t>ROL PALV STD 43 ML 200 R072</t>
  </si>
  <si>
    <t>ROL ALV GR 43 200 M. L. R07.2</t>
  </si>
  <si>
    <t>ROL PALV STD 43 ML 200 R073</t>
  </si>
  <si>
    <t>ROL ALV GR 43 200 M. L. R07.3</t>
  </si>
  <si>
    <t>ROL PALV A100 32 ML 200 R011</t>
  </si>
  <si>
    <t>ROL GR 200 ABS 100NM 32 M. L. R 01.1</t>
  </si>
  <si>
    <t>ROL PALV A100 32 ML 200 R012</t>
  </si>
  <si>
    <t>ROL GR 200 ABS 100NM 32 M. L. R 01.2</t>
  </si>
  <si>
    <t>ROL PALV A100 32 ML 200 R013</t>
  </si>
  <si>
    <t>ROL PALV A100 32 ML 200 R015</t>
  </si>
  <si>
    <t>ROL PALV A100 32 ML 200 R053</t>
  </si>
  <si>
    <t>ROL ALV GR 200 ABS 100NM 32 M. L. R05.3</t>
  </si>
  <si>
    <t>ROL PALV A100 32 ML 200 R054</t>
  </si>
  <si>
    <t>ROL ALV GR 200 ABS 100NM 32 M. L. R05.4</t>
  </si>
  <si>
    <t>ROL PALV A100 32 ML 200 R062M</t>
  </si>
  <si>
    <t>ROL PALV A100 32 ML 200 R072</t>
  </si>
  <si>
    <t>ROL ALV GR 200 ABS 100NM 32 M. L. R07.2</t>
  </si>
  <si>
    <t>ROL PALV A100 37 ML 200 R011</t>
  </si>
  <si>
    <t>ROL GR 200 ABS 100NM 37 M. L. R 01.1</t>
  </si>
  <si>
    <t>ROL PALV A100 37 ML 200 R012</t>
  </si>
  <si>
    <t>ROL ALV GR 200 ABS 100NM 37 M. L. R 01.2</t>
  </si>
  <si>
    <t>ROL PALV A100 37 ML 200 R013</t>
  </si>
  <si>
    <t>ROL GR 200 ABS 100NM 37 M. L. R 01.3</t>
  </si>
  <si>
    <t>ROL PALV A100 37 ML 200 R015</t>
  </si>
  <si>
    <t>ROL PALV A100 37 ML 200 R053</t>
  </si>
  <si>
    <t>ROL GR 200 ABS 100NM 37 M. L. R 05.3</t>
  </si>
  <si>
    <t>ROL PALV A100 37 ML 200 R054</t>
  </si>
  <si>
    <t>ROL GR 200 ABS 100NM 37 M. L. R 05.4</t>
  </si>
  <si>
    <t>ROL PALV A100 37 ML 200 R055</t>
  </si>
  <si>
    <t>ROL GR 200 ABS 100NM 37 M. L. R 05.5</t>
  </si>
  <si>
    <t>ROL PALV A100 37 ML 200 R072</t>
  </si>
  <si>
    <t>ROL GR 200 ABS 100NM 37 M. L. R 07.2</t>
  </si>
  <si>
    <t>ROL PALV A100 37 ML 200 R073</t>
  </si>
  <si>
    <t>ROL GR 200 ABS 100NM 37 M. L. R 07.3</t>
  </si>
  <si>
    <t>ROL PALV A100 43 ML 200 R011</t>
  </si>
  <si>
    <t>ROL GR 200 ABS 100NM 43 M. L. R 01.1</t>
  </si>
  <si>
    <t>ROL PALV A100 43 ML 200 R012</t>
  </si>
  <si>
    <t>ROL PALV A100 43 ML 200 R013</t>
  </si>
  <si>
    <t>ROL GR 200 ABS 100NM 43 M. L. R 01.3</t>
  </si>
  <si>
    <t>ROL PALV A100 43 ML 200 R015</t>
  </si>
  <si>
    <t>ROL PALV A100 43 ML 200 R053</t>
  </si>
  <si>
    <t>ROL GR 200 ABS 100NM 43 M. L. R 05.3</t>
  </si>
  <si>
    <t>ROL PALV A100 43 ML 200 R054</t>
  </si>
  <si>
    <t>ROL GR 200 ABS 100NM 43 M. L. R 05.4</t>
  </si>
  <si>
    <t>ROL PALV A100 43 ML 200 R055</t>
  </si>
  <si>
    <t>OL GR 200 ABS 100NM 43 M. L. R 05.5</t>
  </si>
  <si>
    <t>ROL PALV A100 43 ML 200 R062M</t>
  </si>
  <si>
    <t>ROL PALV A100 43 ML 200 R072</t>
  </si>
  <si>
    <t>ROL GR 200 ABS 100NM 43M. L. R 07.2</t>
  </si>
  <si>
    <t>ROL PALV A100 43 ML 200 R073</t>
  </si>
  <si>
    <t>ROL ALV GR 200 ABS 100NM 43 M. L. R 07.3</t>
  </si>
  <si>
    <t>ROL PALV TGRRSX 100 ML M5X100 200 R011</t>
  </si>
  <si>
    <t>ROL ALV 100 M5X100 ML TGRRSX R01.1</t>
  </si>
  <si>
    <t>ROL PALV TGRRSX 100 ML M5X100 200 R015</t>
  </si>
  <si>
    <t>ROL ALV 100 M5X100 ML TGRRSX R01.5</t>
  </si>
  <si>
    <t>ROL PALV TGRRSX 100 ML M5X100 200 R053</t>
  </si>
  <si>
    <t>ROL ALV 100 M5X100 ML TGRRSX R05.3</t>
  </si>
  <si>
    <t>ROL PALV TGRRSX 100 ML M5X100 200 R054</t>
  </si>
  <si>
    <t>ROL ALV 100 M5X100 ML TGRRSX R05.4</t>
  </si>
  <si>
    <t>ROL PALV TGRRSX 100 ML M5X100 200 R055</t>
  </si>
  <si>
    <t>ROL ALV 100 M5X100 ML TGRRSX R05.5</t>
  </si>
  <si>
    <t>ROL PALV TGRRSX 100 ML M5X100 200 R062GM</t>
  </si>
  <si>
    <t>ROL ALV 100 M5X100 ML TGRRSX R06.2GM</t>
  </si>
  <si>
    <t>ROL PALV TGRRSX 100 ML M5X100 200 R072</t>
  </si>
  <si>
    <t>ROL ALV 100 M5X100 ML TGRRSX R07.2</t>
  </si>
  <si>
    <t>ROL PALV TGRRSX 100 ML M5X100 200 R073</t>
  </si>
  <si>
    <t>ROL ALV 100 M5x100 ML TGRRSX R07.3</t>
  </si>
  <si>
    <t>ROL PALV TGRRSX 135 ML M5X110 200 R011</t>
  </si>
  <si>
    <t>ROL ALV 135 M5X110 ML TGRRSX R01.1</t>
  </si>
  <si>
    <t>ROL PALV TGRRSX 100 ML M5X110 200 R015</t>
  </si>
  <si>
    <t>ROL ALV 100 M5X110 ML TGRRSX R01.5</t>
  </si>
  <si>
    <t>ROL PALV TGRRSX 100 ML M5X110 200 R053</t>
  </si>
  <si>
    <t>ROL ALV 100 M5X110 ML TGRRSX R05.3</t>
  </si>
  <si>
    <t>ROL PALV TGRRSX 135 ML M5X110 200 R054</t>
  </si>
  <si>
    <t>ROL ALV 135 M5X110 ML TGRRSX R05.4</t>
  </si>
  <si>
    <t>ROL PALV TGRRSX 135 ML M5X110 200 R055</t>
  </si>
  <si>
    <t>ROL ALV 135 M5X110 ML TGRRSX R05.5</t>
  </si>
  <si>
    <t>ROL PALV TGRRSX 135 ML M5X110 200 R062GM</t>
  </si>
  <si>
    <t>ROL ALV 135 M5X110 ML TGRRSX R06.2GM</t>
  </si>
  <si>
    <t>ROL PALV TGRRSX 135 ML M5X110 200 R072</t>
  </si>
  <si>
    <t>ROL ALV 135 M5X110 ML TGRRSX R07.2</t>
  </si>
  <si>
    <t>ROL PALV TGRRSX 100 ML M5X110 200 R073</t>
  </si>
  <si>
    <t>ROL ALV 100 M5X110 ML TGRRSX R07.3</t>
  </si>
  <si>
    <t>ROL GR-MULDE AUS 43MM O. L. R011 PA LIFE</t>
  </si>
  <si>
    <t>HANDLE RECESSED GRIP 43MM R01.1 PLF</t>
  </si>
  <si>
    <t>ROL GR-MULDE AUS 43MM O. L. R053 PA LIFE</t>
  </si>
  <si>
    <t>HANDLE RECESSED GRIP 43MM R05.3 PLF</t>
  </si>
  <si>
    <t>ROL GR-MULDE AUS 43MM O. L. R055 PLF</t>
  </si>
  <si>
    <t>ROL GR-MULDE AUS 43MM O. L. R072 PA LIFE</t>
  </si>
  <si>
    <t>HANDLE RECESSED GRIP 43MM R07.2 PLF</t>
  </si>
  <si>
    <t>ROL IS GR AUS GR-MULDE 43MM R062 IS</t>
  </si>
  <si>
    <t>ROL HDL EXT FINGER PULL 43MM R062 IS</t>
  </si>
  <si>
    <t>SCHRAUBENBEUTEL M5X100 (2 STK)</t>
  </si>
  <si>
    <t>PIN BOHRLEHRE LAUFWAG / STEUEREINHEIT 41</t>
  </si>
  <si>
    <t>PIN DRILLING JIG BOGIE / CONTROL UNIT 41</t>
  </si>
  <si>
    <t>PIN BOHRLEHRE MITTELSCHL. 41</t>
  </si>
  <si>
    <t>PIN DRILLING JIG CENTRE-CLOSER 41</t>
  </si>
  <si>
    <t>PIN Anreißer SH SCHLIESSSTÜCK</t>
  </si>
  <si>
    <t>PIN K BOHRLEHRE SST MITTELSCHL SCHMAL</t>
  </si>
  <si>
    <t>PIN PVC DRILLING JIG CENTRE CL NARROW</t>
  </si>
  <si>
    <t>PIN K BOHRLEHRE SST MITTELSCHLIESSER</t>
  </si>
  <si>
    <t>PIN PVC DRILL. JIG STRIKER CENTRE CLOSER</t>
  </si>
  <si>
    <t>VERSTELLWZG.VVS-ZAPFEN NT    .N860A01001</t>
  </si>
  <si>
    <t>NT ADJUSTMENT TOOL FOR VVS-CAMS</t>
  </si>
  <si>
    <t>NT WEZ ZIEHGRIFF 75MM</t>
  </si>
  <si>
    <t>NT HANDLE SPINDLE 75MM</t>
  </si>
  <si>
    <t>FRÄSLEHRE GRIFFMULDE PATIO LIFE</t>
  </si>
  <si>
    <t>JIG ROUTING RECESSED GRIP PLF</t>
  </si>
  <si>
    <t>Roto Patio Inowa Schema A'</t>
  </si>
  <si>
    <t>Roto Patio Inowa Schema C</t>
  </si>
  <si>
    <t>Roto Patio Inowa Schema C'</t>
  </si>
  <si>
    <t>Schema A</t>
  </si>
  <si>
    <t>Schema C</t>
  </si>
  <si>
    <t>Nur PVC</t>
  </si>
  <si>
    <t>Nur Holz</t>
  </si>
  <si>
    <t>Profile:</t>
  </si>
  <si>
    <t>Flügelgewicht max 200 kg</t>
  </si>
  <si>
    <t>Profil:</t>
  </si>
  <si>
    <t>Rahmen Breite:</t>
  </si>
  <si>
    <t>Rahmen Höhe:</t>
  </si>
  <si>
    <t>FFB Flügelfalzbreite (min: 710 mm; max: 1500 mm)</t>
  </si>
  <si>
    <t>Proportion: max 2:1</t>
  </si>
  <si>
    <t>Menge:</t>
  </si>
  <si>
    <t>richtig</t>
  </si>
  <si>
    <t>abnorm</t>
  </si>
  <si>
    <t>Richtung:</t>
  </si>
  <si>
    <t>Abdeckkappe:</t>
  </si>
  <si>
    <t>Getriebe (mit abschießbar FFH&gt;1801mm)</t>
  </si>
  <si>
    <t>Griffe:</t>
  </si>
  <si>
    <t>Farbgriffe:</t>
  </si>
  <si>
    <t>Stift:</t>
  </si>
  <si>
    <t>Aluplast -&gt; Stiftlänge 37 mm</t>
  </si>
  <si>
    <t>Außen Griffmulde</t>
  </si>
  <si>
    <t>Links --&gt;</t>
  </si>
  <si>
    <t>Rechts &lt;--</t>
  </si>
  <si>
    <t>Artikel</t>
  </si>
  <si>
    <t>Order:</t>
  </si>
  <si>
    <t>Bohrlehre und Dokumentation</t>
  </si>
  <si>
    <t>Zertifikat</t>
  </si>
  <si>
    <t>Roto Patio Inowa Diagram A</t>
  </si>
  <si>
    <t>Roto Patio Inowa Diagram A'</t>
  </si>
  <si>
    <t>Roto Patio Inowa Diagram C</t>
  </si>
  <si>
    <t>Roto Patio Inowa Diagram C'</t>
  </si>
  <si>
    <t>Diagram A</t>
  </si>
  <si>
    <t>Diagram C</t>
  </si>
  <si>
    <t>Only PVC</t>
  </si>
  <si>
    <t>Only Timber</t>
  </si>
  <si>
    <t>Dimensions:</t>
  </si>
  <si>
    <t>Sash weight max 200 kg</t>
  </si>
  <si>
    <t>Complete yellow fields ↓</t>
  </si>
  <si>
    <t>Width of frame:</t>
  </si>
  <si>
    <t>Height of frame:</t>
  </si>
  <si>
    <t xml:space="preserve">Sash rebate width SRW (min: 710 mm; max: 1500 mm) </t>
  </si>
  <si>
    <t>Proportions: max 2:1</t>
  </si>
  <si>
    <t>Quantity:</t>
  </si>
  <si>
    <t>Direction:</t>
  </si>
  <si>
    <t>Cover cap:</t>
  </si>
  <si>
    <t>Espagnolette (lockable from SRH 1801mm)</t>
  </si>
  <si>
    <t>Handle:</t>
  </si>
  <si>
    <t>Colour of handle:</t>
  </si>
  <si>
    <t>Spindle lenght:</t>
  </si>
  <si>
    <t>Aluplast -&gt; Spindle lenght 37 mm</t>
  </si>
  <si>
    <t>External recessed grip</t>
  </si>
  <si>
    <t>Left --&gt;</t>
  </si>
  <si>
    <t>Right &lt;--</t>
  </si>
  <si>
    <t>Article:</t>
  </si>
  <si>
    <t>Auftrag:</t>
  </si>
  <si>
    <t>Certificate</t>
  </si>
  <si>
    <t>Timber</t>
  </si>
  <si>
    <t>Schema auswählen:</t>
  </si>
  <si>
    <t>Füllen gelbe Felder ↓</t>
  </si>
  <si>
    <t>Maße:</t>
  </si>
  <si>
    <t>Diagram choice:</t>
  </si>
  <si>
    <t>IMPOSSIBLE</t>
  </si>
  <si>
    <t>UNMöGLICH</t>
  </si>
  <si>
    <t>Uwaga! Zamknięcie środkowe nie zostało dobrane z uwagi na niepoprawną szerokość skrzydła</t>
  </si>
  <si>
    <t>Attention! Centre lock components doesn't be pick up because of the inccorect SRW</t>
  </si>
  <si>
    <t>Achtung! Der Mittelverschluss wurde wegen unrichtiger Flügelbreite nicht gewählt.</t>
  </si>
  <si>
    <t>Za szerokie</t>
  </si>
  <si>
    <t>Za niskie</t>
  </si>
  <si>
    <t>Za wąskie</t>
  </si>
  <si>
    <t>Za wysokie</t>
  </si>
  <si>
    <t>Zu schmal</t>
  </si>
  <si>
    <t>Zu breit</t>
  </si>
  <si>
    <t>Zu niedrig</t>
  </si>
  <si>
    <t>Zu hoch</t>
  </si>
  <si>
    <t>Too narrow</t>
  </si>
  <si>
    <t>Too wide</t>
  </si>
  <si>
    <t>Too low</t>
  </si>
  <si>
    <t>Too high</t>
  </si>
  <si>
    <t>Set of screws M5X100 (2 pc.)</t>
  </si>
  <si>
    <t>Jigs and documentation</t>
  </si>
  <si>
    <t>Klamka skrzydło bierne:</t>
  </si>
  <si>
    <t>Griffe - aktiver Flügel</t>
  </si>
  <si>
    <t>Griffe - passiver Flügel</t>
  </si>
  <si>
    <t>Dornmass - aktiver Flügel</t>
  </si>
  <si>
    <t>Dornmass - passiver Flügel</t>
  </si>
  <si>
    <t>Handle - active sash:</t>
  </si>
  <si>
    <t>Handle - passive sash:</t>
  </si>
  <si>
    <t>Backset - active sash:</t>
  </si>
  <si>
    <t>Backset - passive sash:</t>
  </si>
  <si>
    <t>Handle 200mm</t>
  </si>
  <si>
    <t>Griffe 200mm</t>
  </si>
  <si>
    <t>Griffe 200mm beidseitig</t>
  </si>
  <si>
    <t>100mm beidseitig</t>
  </si>
  <si>
    <t>135mm beidseitig</t>
  </si>
  <si>
    <t>keine</t>
  </si>
  <si>
    <t>lack</t>
  </si>
  <si>
    <t>R06.2 Black</t>
  </si>
  <si>
    <t>R06.2 Schwarz</t>
  </si>
  <si>
    <t xml:space="preserve">R01.1 Natursilber </t>
  </si>
  <si>
    <t xml:space="preserve">R01.2 Neusilber </t>
  </si>
  <si>
    <t>R01.3 Titan</t>
  </si>
  <si>
    <t>R01.5 Silber</t>
  </si>
  <si>
    <t xml:space="preserve">R05.3 Mittelbronze </t>
  </si>
  <si>
    <t>R05.4 Dunkelbronze</t>
  </si>
  <si>
    <t>R05.5 Bronze</t>
  </si>
  <si>
    <t xml:space="preserve">R06.2M Tiefschwarz matt </t>
  </si>
  <si>
    <t>R07.2 Verkehrsweiß</t>
  </si>
  <si>
    <t>R07.3 Cremeweiß</t>
  </si>
  <si>
    <t>R01.1 Natursilber</t>
  </si>
  <si>
    <t>R05.3 Mittelbronze</t>
  </si>
  <si>
    <t>R01.1 Natural silver</t>
  </si>
  <si>
    <t>R01.2 Newsilver</t>
  </si>
  <si>
    <t>R01.5 Silver</t>
  </si>
  <si>
    <t>R05.3 Medium bronze</t>
  </si>
  <si>
    <t>R05.4 Dark bronze</t>
  </si>
  <si>
    <t>R06.2M Jet black</t>
  </si>
  <si>
    <t>R07.2 Traffic white</t>
  </si>
  <si>
    <t>R07.3 Cream</t>
  </si>
  <si>
    <t>R01.3 Titanium</t>
  </si>
  <si>
    <t>Handle 200mm bilateral</t>
  </si>
  <si>
    <t>100mm bilateral</t>
  </si>
  <si>
    <t>135mm bilateral</t>
  </si>
  <si>
    <t>Getriebe mit abschließbar</t>
  </si>
  <si>
    <t>Getriebe ohne abschließbar</t>
  </si>
  <si>
    <t>Espagnolette  lockable</t>
  </si>
  <si>
    <t>R07.2 Weiß</t>
  </si>
  <si>
    <t>R07.2 White</t>
  </si>
  <si>
    <t xml:space="preserve">Espagnolette </t>
  </si>
  <si>
    <t>Getriebe - aktiver Flügel</t>
  </si>
  <si>
    <t>Getriebe - passiver Flügel</t>
  </si>
  <si>
    <t>Außen Griffmulde - passiver Flügel</t>
  </si>
  <si>
    <t>Espagnolette - active sash:</t>
  </si>
  <si>
    <t>Espagnolette - passive sash:</t>
  </si>
  <si>
    <t>Griffe 200mm 100Nm</t>
  </si>
  <si>
    <t>Handle 200mm 100Nm</t>
  </si>
  <si>
    <t>Getriebe - aktiver Flügel (mit abschießbar FFH&gt;1801mm)</t>
  </si>
  <si>
    <t>Espagnolette - active sash (lockable from SRH 1801mm)</t>
  </si>
  <si>
    <t>Außen Griffmulde - aktiver Flügel</t>
  </si>
  <si>
    <t>External recessed grip - active sash</t>
  </si>
  <si>
    <t>External recessed grip - passive sash</t>
  </si>
  <si>
    <t>in Vorbereitung</t>
  </si>
  <si>
    <t>In preparation</t>
  </si>
  <si>
    <t>Dodane tłumaczenie: DE, ENG</t>
  </si>
  <si>
    <t>V. Kmec</t>
  </si>
  <si>
    <t>Dodane wkręty do pochwytów M5x70`</t>
  </si>
  <si>
    <t>P.Dolman/K.Nowak</t>
  </si>
  <si>
    <t>Warunek proporcji</t>
  </si>
  <si>
    <t>Attention! In the case of a double-sided handle, select the spindle and the door handle</t>
  </si>
  <si>
    <t>Achtung! Bei einem doppelseitigen Griff die Spindel und den Türgriff auswählen</t>
  </si>
  <si>
    <t>Zestaw śrub M5X70 (2szt.)</t>
  </si>
  <si>
    <t>Zmiana nazwy wkręty na śruby</t>
  </si>
  <si>
    <t>Gealan -&gt; klamka z trzpieniem 43mm</t>
  </si>
  <si>
    <t>Gealan -&gt; Stiftlänge 43 mm</t>
  </si>
  <si>
    <t>Gealan -&gt; Spindle lenght 43 mm</t>
  </si>
  <si>
    <t>Przymiar wiert.docisk.międzyz GEALAN PIN</t>
  </si>
  <si>
    <t>PIN K BOHRLEHRE SST MS MITTELSCHLIESSER</t>
  </si>
  <si>
    <t>RU</t>
  </si>
  <si>
    <t>podkladka</t>
  </si>
  <si>
    <t>odboj w szynie</t>
  </si>
  <si>
    <t>Stoper do prowadnicy górnej PIN</t>
  </si>
  <si>
    <t>El. dyst. stopera prowadnicy górnej PIN</t>
  </si>
  <si>
    <t>PIN STOPPER FÜR FÜHRUNGSSCHIENE OBEN</t>
  </si>
  <si>
    <t>PIN END STOP FOR GUIDE TRACK TOP</t>
  </si>
  <si>
    <t>PIN UNTERLAGE STOPPER FÜHRUNGSSCHIENE</t>
  </si>
  <si>
    <t>PIN UNDERLAY END STOP GUIDE RAIL TOP</t>
  </si>
  <si>
    <t>Osłona MB R06.2 PIN</t>
  </si>
  <si>
    <t>Osłona MB R07.2 PIN</t>
  </si>
  <si>
    <t>Dodany odbój w szynie zamiast dwóch gumowych odbojów</t>
  </si>
  <si>
    <t>Дерево</t>
  </si>
  <si>
    <t>Roto Patio Inowa Диаграмма A</t>
  </si>
  <si>
    <t>Roto Patio Inowa Диаграмма A'</t>
  </si>
  <si>
    <t>Roto Patio Inowa Диаграмма C</t>
  </si>
  <si>
    <t>Roto Patio Inowa Диаграмма C'</t>
  </si>
  <si>
    <t>выбор диаграмм:</t>
  </si>
  <si>
    <t>Диаграмма A</t>
  </si>
  <si>
    <t>Диаграмма C</t>
  </si>
  <si>
    <t>Только PVC</t>
  </si>
  <si>
    <t>Только дерево</t>
  </si>
  <si>
    <t>Профиль:</t>
  </si>
  <si>
    <t>Назад:</t>
  </si>
  <si>
    <t>Размеры:</t>
  </si>
  <si>
    <t>Вес створки  max 200 кг</t>
  </si>
  <si>
    <t>Заполните жёлтые ячейки ↓</t>
  </si>
  <si>
    <t xml:space="preserve">Ширина створки по фальцу ШСФ (min: 710 мм; max: 1500 мм) </t>
  </si>
  <si>
    <t>Пропорции: max 2:1</t>
  </si>
  <si>
    <t>Количество:</t>
  </si>
  <si>
    <t>правильно</t>
  </si>
  <si>
    <t>неправильно</t>
  </si>
  <si>
    <t>Направление открывания:</t>
  </si>
  <si>
    <t>Декоры:</t>
  </si>
  <si>
    <t>Вид основного запора (с вкладкой под цилиндр ВСФ&gt; 1801 мм)</t>
  </si>
  <si>
    <t>Вид основного запора на активной створке (с вкладкой под цилиндр ВСФ&gt; 1801 мм)</t>
  </si>
  <si>
    <t>Ручка:</t>
  </si>
  <si>
    <t>Цвет ручки:</t>
  </si>
  <si>
    <t>Длинна штифта:</t>
  </si>
  <si>
    <t>Gealan -&gt; длина штифта 37 мм</t>
  </si>
  <si>
    <t>Внимание! При применении двухсторонней ручки выбрать двухстороннюю ручку и штифт</t>
  </si>
  <si>
    <t>Ручка-захват снаружи</t>
  </si>
  <si>
    <t>Roto Patio Inowa Диаграмм A'</t>
  </si>
  <si>
    <t>Roto Patio Inowa Диаграмм C</t>
  </si>
  <si>
    <t>Roto Patio Inowa Диаграмм C'</t>
  </si>
  <si>
    <t>Направление:</t>
  </si>
  <si>
    <t>Левая --&gt;</t>
  </si>
  <si>
    <t>Правая &lt;--</t>
  </si>
  <si>
    <t>Артикул:</t>
  </si>
  <si>
    <t>Заказ:</t>
  </si>
  <si>
    <t>Заказ шаблонов и документации</t>
  </si>
  <si>
    <t>Сертификат</t>
  </si>
  <si>
    <t>Внимание! Средний запор не выбран в связи с превыщнием размера по ширине</t>
  </si>
  <si>
    <t>Слишком узкая</t>
  </si>
  <si>
    <t>Слишком широкая</t>
  </si>
  <si>
    <t>Слишком низкая</t>
  </si>
  <si>
    <t>Слишком высокая</t>
  </si>
  <si>
    <t>Ручка на активной створке:</t>
  </si>
  <si>
    <t>Ручка на пассивной створке:</t>
  </si>
  <si>
    <t>Дорнмасс на активной створке</t>
  </si>
  <si>
    <t>Дорнмасс на пассивной створке</t>
  </si>
  <si>
    <t>Ручка 200 мм</t>
  </si>
  <si>
    <t>Ручка 200 мм 100Nm</t>
  </si>
  <si>
    <t>Ручка 200 мм bilateral</t>
  </si>
  <si>
    <t>32 мм</t>
  </si>
  <si>
    <t>37 мм</t>
  </si>
  <si>
    <t>43 мм</t>
  </si>
  <si>
    <t>100 мм двухсторонняя</t>
  </si>
  <si>
    <t>135 мм двухсторонняя</t>
  </si>
  <si>
    <t>R01.1 серебро натуральное</t>
  </si>
  <si>
    <t>R01.2 серебро новое</t>
  </si>
  <si>
    <t>R01.3 титан</t>
  </si>
  <si>
    <t>R01.5 серебрянный</t>
  </si>
  <si>
    <t>R05.3 средняя бронза</t>
  </si>
  <si>
    <t>R05.4 тёмная бронза</t>
  </si>
  <si>
    <t>R05.5 бронза</t>
  </si>
  <si>
    <t>R06.2M чёрный матовый</t>
  </si>
  <si>
    <t>R07.2 белый</t>
  </si>
  <si>
    <t>R07.3 кремовый</t>
  </si>
  <si>
    <t>отсутствует</t>
  </si>
  <si>
    <t>R06.2 чёрный</t>
  </si>
  <si>
    <t>Основной запор без вкладки под цилиндр</t>
  </si>
  <si>
    <t>Основной запор с вкладкой под цилиндр</t>
  </si>
  <si>
    <t>Основной запор на активной створке</t>
  </si>
  <si>
    <t>Основной запор на пассивной створке</t>
  </si>
  <si>
    <t>Ручка-захват на активной створке</t>
  </si>
  <si>
    <t>Ручка-захват на пассивной створке</t>
  </si>
  <si>
    <t>На этапе подготовки</t>
  </si>
  <si>
    <t>Основной запор KSR 690/263 D25 PIN</t>
  </si>
  <si>
    <t>Основной запор KSR 890/413 D25 PIN</t>
  </si>
  <si>
    <t>Основной запор  KSR 1090/513 1V D25 PIN</t>
  </si>
  <si>
    <t>Основной запор KSR 1290/563 1V D25 PIN</t>
  </si>
  <si>
    <t>Основной запор KSR 1690/563 1V D25 PIN</t>
  </si>
  <si>
    <t>Основной запор  KSR 1890/1000 2V D25 PIN</t>
  </si>
  <si>
    <t>Основной запор  KSR 2290/1000 2V D25 PIN</t>
  </si>
  <si>
    <t>Основной запор KSR +PZ 1890/1000 2V D25 PIN</t>
  </si>
  <si>
    <t>Основной запор  KSR +PZ 2290/1000 2V D25 PIN</t>
  </si>
  <si>
    <t>Основной запор  KSR 690/263 D30 PIN</t>
  </si>
  <si>
    <t>Основной запор KSR 890/413 D30 PIN</t>
  </si>
  <si>
    <t>Основной запор KSR 1090/513 1V D30 PIN</t>
  </si>
  <si>
    <t>Основной запор  KSR 1290/563 1V D30 PIN</t>
  </si>
  <si>
    <t>Основной запор KSR 1690/563 1V D30 PIN</t>
  </si>
  <si>
    <t>Основной запор KSR 1890/1000 2V D30 PIN</t>
  </si>
  <si>
    <t>Основной запор KSR 2290/1000 2V D30 PIN</t>
  </si>
  <si>
    <t>Основной запор KSR +PZ 1890/1000 2V D30 PIN</t>
  </si>
  <si>
    <t>Основной запор KSR +PZ 2290/1000 2V D30 PIN</t>
  </si>
  <si>
    <t>Основной запор KSR 690/263 D40 PIN</t>
  </si>
  <si>
    <t>Основной запор KSR 890/413 D40 PIN</t>
  </si>
  <si>
    <t>Основной запор KSR 1090/513 1V D40 PIN</t>
  </si>
  <si>
    <t>Основной запор KSR 1290/563 1V D40 PIN</t>
  </si>
  <si>
    <t>Основной запор KSR 1690/563 1V D40 PIN</t>
  </si>
  <si>
    <t>Основной запор KSR 1890/1000 2V D40 PIN</t>
  </si>
  <si>
    <t>Основной запор KSR 2290/1000 2V D40 PIN</t>
  </si>
  <si>
    <t>Основной запор KSR +PZ 1890/1000 2V D40 PIN</t>
  </si>
  <si>
    <t>Основной запор KSR +PZ 2290/1000 2V D40 PIN</t>
  </si>
  <si>
    <t>Основной запор KSR 690/263 D35 PIN</t>
  </si>
  <si>
    <t>Основной запор KSR 890/413 D35 PIN</t>
  </si>
  <si>
    <t>Основной запор KSR 1090/513 1V D35 PIN</t>
  </si>
  <si>
    <t>Основной запор KSR 1290/563 1V D35 PIN</t>
  </si>
  <si>
    <t>Основной запор KSR 1690/563 1V D35 PIN</t>
  </si>
  <si>
    <t>Основной запор  KSR 1890/1000 2V D35 PIN</t>
  </si>
  <si>
    <t>Основной запор KSR 2290/1000 2V D35 PIN</t>
  </si>
  <si>
    <t>Основной запор KSR +PZ 1890/1000 2V D35 PIN</t>
  </si>
  <si>
    <t>Основной запор KSR +PZ 2290/1000 2V D35 PIN</t>
  </si>
  <si>
    <t>Основной запор KSR 690/263 D50 PIN</t>
  </si>
  <si>
    <t>Основной запор  KSR 890/413 D50 PIN</t>
  </si>
  <si>
    <t>Основной запор KSR 1090/513 1V D50 PIN</t>
  </si>
  <si>
    <t>Основной запор KSR 1290/563 1V D50 PIN</t>
  </si>
  <si>
    <t>Основной запор KSR 1690/563 1V D50 PIN</t>
  </si>
  <si>
    <t>Основной запор KSR 1890/1000 2V D50 PIN</t>
  </si>
  <si>
    <t>Основной запор KSR 2290/1000 2V D50 PIN</t>
  </si>
  <si>
    <t>Основной запор  KSR +PZ 1890/1000 2V D50 PIN</t>
  </si>
  <si>
    <t>Основной запор KSR +PZ 2290/1000 2V D50 PIN</t>
  </si>
  <si>
    <t>Средний запор с подключением 200 NTi</t>
  </si>
  <si>
    <t>Удлинитель запора NT MV400 без отв. Планки</t>
  </si>
  <si>
    <t>Соединитель M 344 1V NT</t>
  </si>
  <si>
    <t>Средний запор арочный NT 501-700</t>
  </si>
  <si>
    <t>Средний запор верхний 600-800 NT ALV</t>
  </si>
  <si>
    <t>Средний запор верхний 801-1000 NT ALV</t>
  </si>
  <si>
    <t>Средний запор верхний 1001-1200 NT ALV</t>
  </si>
  <si>
    <t>Средний запор верхний 1201-1400 NT ALV</t>
  </si>
  <si>
    <t>Средний запор 1E NT MV600</t>
  </si>
  <si>
    <t>Средний запор 200/E соединяемый NT</t>
  </si>
  <si>
    <t>Средний запор 1E NT MV600 соединяемый</t>
  </si>
  <si>
    <t>Угловой переключатель Ku/r NT/1V</t>
  </si>
  <si>
    <t>Угловой переключатель NT/1E</t>
  </si>
  <si>
    <t>Ходовой механизм 8 41 L PIN</t>
  </si>
  <si>
    <t>Ходовой механизм 8 41 R PIN</t>
  </si>
  <si>
    <t xml:space="preserve">Ходовой механизм DR 8 41 L PIN </t>
  </si>
  <si>
    <t xml:space="preserve">Ходовой механизм DR 8 41 R PIN </t>
  </si>
  <si>
    <t>Управляющий механизм 8 41 L PIN</t>
  </si>
  <si>
    <t>Управляющий механизм 8 41 R PIN</t>
  </si>
  <si>
    <t>Управляющий механизм DR 8 41 L PIN</t>
  </si>
  <si>
    <t>Управляющий механизм DR 8 41 R PIN</t>
  </si>
  <si>
    <t>Средний прижим 8 41 L PIN</t>
  </si>
  <si>
    <t>Средний прижим 8 41 R PIN</t>
  </si>
  <si>
    <t>Средний прижим DR 8 41 L PIN</t>
  </si>
  <si>
    <t>Средний прижим DR 8 41 R PIN</t>
  </si>
  <si>
    <t>Средний запор 1E NTN MV130 соединяемый</t>
  </si>
  <si>
    <t>Штифт среднего прижима 32.8 PIN Aluplast</t>
  </si>
  <si>
    <t>Штифт среднего прижима 38.4 PIN Gealan</t>
  </si>
  <si>
    <t>Штифт среднего прижима 34.4 PIN Holz</t>
  </si>
  <si>
    <t>Отв. планка среднего прижима MV-SEB</t>
  </si>
  <si>
    <t>Отв. планка среднего прижима MV-SEB Holz</t>
  </si>
  <si>
    <t>Отв. планка блокировщика ошибочного действия PVC12.2PIN</t>
  </si>
  <si>
    <t>Отв. планка блокировщика ошибочного действия дерево/PVC12.2PIN</t>
  </si>
  <si>
    <t>ПОДБОР НЕВОЗМОЖЕН</t>
  </si>
  <si>
    <t>Ответная планка противовзломная PVC 12.2 PIN</t>
  </si>
  <si>
    <t>Ответная планка противовзломная дерево L</t>
  </si>
  <si>
    <t>Ответная планка противовзломная дерево R</t>
  </si>
  <si>
    <t>Ответная планка противовзломная дерево/ПВХ Schemat C 15,7 P</t>
  </si>
  <si>
    <t>Демпфер 14 PIN</t>
  </si>
  <si>
    <t>Отбойник резиновый 21x8 RAL9005 Inowa</t>
  </si>
  <si>
    <t>Отбойник резиновый 21X11.5 RAL 9005 Дерево</t>
  </si>
  <si>
    <t>Порог AL L=3,2M R01.1-1101 PIN</t>
  </si>
  <si>
    <t>Порог AL L=6,4M R01.1-1101 PIN</t>
  </si>
  <si>
    <t>Шина L=3,2M R01.1-1101 PIN</t>
  </si>
  <si>
    <t>Шина L=6,4M R01.1-1101 PIN</t>
  </si>
  <si>
    <t>Уплотнитель QL-3006 2,1m BRĄZ RAL8019</t>
  </si>
  <si>
    <t>Уплотнитель QL-7000 BRĄZ RAL8019</t>
  </si>
  <si>
    <t>Ручка RotoLine 32 мм 200 R01.1 ALV</t>
  </si>
  <si>
    <t>Ручка RotoLine 32 мм 200 R01.2 ALV</t>
  </si>
  <si>
    <t>Ручка RotoLine 32 мм  200 R01.3 ALV</t>
  </si>
  <si>
    <t>Ручка RotoLine 32 мм  200 R01.5 ALV</t>
  </si>
  <si>
    <t>Ручка RotoLine 32 мм  200 R05.3 ALV</t>
  </si>
  <si>
    <t>Ручка RotoLine 32 мм  200 R05.4 ALV</t>
  </si>
  <si>
    <t>Ручка RotoLine 32 мм  200 R05.5 ALV</t>
  </si>
  <si>
    <t>Ручка RotoLine 32 мм  200 R06.2M ALV</t>
  </si>
  <si>
    <t>Ручка RotoLine 32 мм  200 R07.2 ALV</t>
  </si>
  <si>
    <t>Ручка RotoLine 32 мм  200 R07.3 ALV</t>
  </si>
  <si>
    <t>Ручка RotoLine 37 мм  200 R01.1 ALV</t>
  </si>
  <si>
    <t>Ручка RotoLine 37 мм 200 R01.2 ALV</t>
  </si>
  <si>
    <t>Ручка RotoLine 37 мм 200 R01.3 ALV</t>
  </si>
  <si>
    <t>Ручка RotoLine 37 мм 200 R01.5 ALV</t>
  </si>
  <si>
    <t>Ручка RotoLine 37 мм 200 R05.3 ALV</t>
  </si>
  <si>
    <t>Ручка RotoLine 37 мм 200 R05.4 ALV</t>
  </si>
  <si>
    <t>Ручка RotoLine 37 мм 200 R05.5 ALV</t>
  </si>
  <si>
    <t>Ручка RotoLine 37 мм 200 R06.2M ALV</t>
  </si>
  <si>
    <t>Ручка RotoLine 37 мм 200 R07.2 ALV</t>
  </si>
  <si>
    <t>Ручка RotoLine 37 мм 200 R07.3 ALV</t>
  </si>
  <si>
    <t>Ручка RotoLine 43 мм 200 R01.1 ALV</t>
  </si>
  <si>
    <t>Ручка RotoLine 43 мм  200 R01.2 ALV</t>
  </si>
  <si>
    <t>Ручка RotoLine 43 мм  200 R01.3 ALV</t>
  </si>
  <si>
    <t>Ручка RotoLine 43 мм  200 R01.5 ALV</t>
  </si>
  <si>
    <t>Ручка RotoLine 43 мм  200 R05.3 ALV</t>
  </si>
  <si>
    <t>Ручка RotoLine 43 мм  200 R05.4 ALV</t>
  </si>
  <si>
    <t>Ручка RotoLine 43 мм  200 R05.5 ALV</t>
  </si>
  <si>
    <t>Ручка RotoLine 43 мм  200 R06.2M ALV</t>
  </si>
  <si>
    <t>Ручка RotoLine 43 мм  200 R07.2 ALV</t>
  </si>
  <si>
    <t>Ручка RotoLine 43 мм  200 R07.3 ALV</t>
  </si>
  <si>
    <t>Ручка RotoLine с ключом 100Nm32 мм 200R01.1ALV</t>
  </si>
  <si>
    <t>Ручка RotoLine с ключом 100Nm32 мм 200R01.2ALV</t>
  </si>
  <si>
    <t>Ручка RotoLine с ключом 100Nm32 мм 200R01.3ALV</t>
  </si>
  <si>
    <t>Ручка RotoLine с ключом 100Nm32 мм 200R01.5ALV</t>
  </si>
  <si>
    <t>Ручка RotoLine с ключом 100Nm32 мм 200R05.3ALV</t>
  </si>
  <si>
    <t>Ручка RotoLine с ключом 100Nm32 мм 200R05.4ALV</t>
  </si>
  <si>
    <t>Ручка RotoLine с ключом 100Nm32 мм 200R05.5ALV</t>
  </si>
  <si>
    <t>Ручка RotoLine с ключом 100Nm32 мм 200R06.2MALV</t>
  </si>
  <si>
    <t>Ручка RotoLine с ключом 100Nm32 мм 200R07.2ALV</t>
  </si>
  <si>
    <t>Ручка RotoLine с ключом 100Nm32 мм 200R07.3ALV</t>
  </si>
  <si>
    <t>Ручка RotoLine с ключом 100Nm37 мм 200R01.1ALV</t>
  </si>
  <si>
    <t>Ручка RotoLine с ключом 100Nm37 мм 200R01.2ALV</t>
  </si>
  <si>
    <t>Ручка RotoLine с ключом 100Nm37 мм 200R01.3ALV</t>
  </si>
  <si>
    <t>Ручка RotoLine с ключом 100Nm37 мм 200R01.5ALV</t>
  </si>
  <si>
    <t>Ручка RotoLine с ключом 100Nm37 мм 200R05.3ALV</t>
  </si>
  <si>
    <t>Ручка RotoLine с ключом 100Nm37 мм 200R05.4ALV</t>
  </si>
  <si>
    <t>Ручка RotoLine с ключом 100Nm37 мм 200R05.5ALV</t>
  </si>
  <si>
    <t>Ручка RotoLine с ключом 100Nm37 мм 200R06.2MALV</t>
  </si>
  <si>
    <t>Ручка RotoLine с ключом 100Nm37 мм 200R07.2ALV</t>
  </si>
  <si>
    <t>Ручка RotoLine с ключом 100Nm37 мм 200R07.3ALV</t>
  </si>
  <si>
    <t>Ручка RotoLine с ключом 100Nm43 мм 200R01.1ALV</t>
  </si>
  <si>
    <t>Ручка RotoLine с ключом 100Nm43 мм 200R01.2ALV</t>
  </si>
  <si>
    <t>Ручка RotoLine с ключом 100Nm43 мм 200R01.3ALV</t>
  </si>
  <si>
    <t>Ручка RotoLine с ключом 100Nm43 мм 200R01.5ALV</t>
  </si>
  <si>
    <t>Ручка RotoLine с ключом 100Nm43 мм 200R05.3ALV</t>
  </si>
  <si>
    <t>Ручка RotoLine с ключом 100Nm43 мм 200R05.4ALV</t>
  </si>
  <si>
    <t>Ручка RotoLine с ключом 100Nm43 мм 200R05.5ALV</t>
  </si>
  <si>
    <t>Ручка RotoLine с ключом 100Nm43 мм 200R06.2MALV</t>
  </si>
  <si>
    <t>Ручка RotoLine с ключом 100Nm43 мм 200R07.2ALV</t>
  </si>
  <si>
    <t>Ручка RotoLine с ключом 100Nm43 мм 200R07.3ALV</t>
  </si>
  <si>
    <t>Ручка RotoLine двухсторонняя низкая 100 мм 200R01.1ALV</t>
  </si>
  <si>
    <t>Ручка RotoLine двухсторонняя низкая 100 мм 200R01.5ALV</t>
  </si>
  <si>
    <t>Ручка RotoLine двухсторонняя низкая 100 мм 200R05.3ALV</t>
  </si>
  <si>
    <t>Ручка RotoLine двухсторонняя низкая 100 мм 200R05.4ALV</t>
  </si>
  <si>
    <t>Ручка RotoLine двухсторонняя низкая 100 мм 200R05.5ALV</t>
  </si>
  <si>
    <t>Ручка RotoLine двухсторонняя низкая 100 мм 200R06.2ALV</t>
  </si>
  <si>
    <t>Ручка RotoLine двухсторонняя низкая 100 мм 200R07.2ALV</t>
  </si>
  <si>
    <t>Ручка RotoLine двухсторонняя низкая 100 мм 200R07.3ALV</t>
  </si>
  <si>
    <t>Ручка RotoLine двухсторонняя низкая 135 мм 200R01.1ALV</t>
  </si>
  <si>
    <t>Ручка RotoLine двухсторонняя низкая 135 мм 200R01.5ALV</t>
  </si>
  <si>
    <t>Ручка RotoLine двухсторонняя низкая 135 мм 200R05.3ALV</t>
  </si>
  <si>
    <t>Ручка RotoLine двухсторонняя низкая 135 мм 200R05.4ALV</t>
  </si>
  <si>
    <t>Ручка RotoLine двухсторонняя низкая 135 мм 200R05.5ALV</t>
  </si>
  <si>
    <t>Ручка RotoLine двухсторонняя низкая 135 мм 200R06.2ALV</t>
  </si>
  <si>
    <t>Ручка RotoLine двухсторонняя низкая 135 мм 200R07.2ALV</t>
  </si>
  <si>
    <t>Ручка RotoLine двухсторонняя низкая 135 мм 200R07.3ALV</t>
  </si>
  <si>
    <t>Ручка-захват скрытая PatioLife 43 мм  R01.1</t>
  </si>
  <si>
    <t>Ручка-захват скрытая PatioLife 43 мм  R01.3</t>
  </si>
  <si>
    <t>Ручка-захват скрытая PatioLife 43 мм  R05.3</t>
  </si>
  <si>
    <t>Ручка-захват скрытая PatioLife 43 мм  R05.5</t>
  </si>
  <si>
    <t>Ручка-захват скрытая PatioLife 43 мм  R07.2</t>
  </si>
  <si>
    <t>Внешний захват 43MM R06.2 IS</t>
  </si>
  <si>
    <t>Комплект винтов M5X100 (2 шт.)HS</t>
  </si>
  <si>
    <t>Комплект винтов M5X70 (2 шт.)</t>
  </si>
  <si>
    <t>Шаблон ходового механизма 41 PIN</t>
  </si>
  <si>
    <t>Шаблон для установки среднего прижима 41 PIN</t>
  </si>
  <si>
    <t>Шаблон для установки ответных планок PIN</t>
  </si>
  <si>
    <t>Шаблон под ответные планки средних прижимов PIN 84 мм</t>
  </si>
  <si>
    <t>Шаблон под ответные планки средних прижимов PIN 104 мм</t>
  </si>
  <si>
    <t>Ключ для регулировки цапф V NT</t>
  </si>
  <si>
    <t>Монтажная ручка 75 мм NT</t>
  </si>
  <si>
    <t>Шаблон для фрезеровки ручки-захвата PATIO LIFE</t>
  </si>
  <si>
    <t>Шаблон под ответные планки средних прижимов PIN Gealan</t>
  </si>
  <si>
    <t>Декоративная накладка MB R06.2</t>
  </si>
  <si>
    <t>Декоративная накладка MB R07.2</t>
  </si>
  <si>
    <t>Dodany język rosyjski</t>
  </si>
  <si>
    <t>V. Dmitrijew</t>
  </si>
  <si>
    <t>Wymiary Gealan - skorygowane</t>
  </si>
  <si>
    <t>R. Barchan</t>
  </si>
  <si>
    <t>Uwaga! W przypadku zastosowania klamki obustronnej wybierz trzpień i klamkę obustronną</t>
  </si>
  <si>
    <t>Trzpienie klamek: Aluplast, Gealan dobierane domyślnie</t>
  </si>
  <si>
    <t>Ukryte schemat K i K'</t>
  </si>
  <si>
    <t>Rozeta PZ wew. Pat Life R01.1</t>
  </si>
  <si>
    <t>Rozetka PZ TYTAN R-line R01.3 str wewn</t>
  </si>
  <si>
    <t>Rozeta PZ wew. Pat Life R05.3</t>
  </si>
  <si>
    <t>Rozetka PZ BIEL R-line b-logo R07.2 wewn</t>
  </si>
  <si>
    <t>ROL PZ-ROS INN OL R011</t>
  </si>
  <si>
    <t>ROL PZ-ROS INN OL R013</t>
  </si>
  <si>
    <t>ROL PZ-ROS INN OL R053</t>
  </si>
  <si>
    <t>ROL PZ-ROS INN OL R072</t>
  </si>
  <si>
    <t>HANDLE INTERIOR PC ROSETTE R01.1 PLF</t>
  </si>
  <si>
    <t>ESCUTCHEON PLATE DOOR H.</t>
  </si>
  <si>
    <t>HANDLE INTERIOR PC ROSETTE R05.3 PLF</t>
  </si>
  <si>
    <t>HANDLE INTERIOR PC ROSSETTE R07.2 PLF</t>
  </si>
  <si>
    <t>PLf розетка внутр.серебро натур.</t>
  </si>
  <si>
    <t>Розетка для профильного цилиндра R01.3</t>
  </si>
  <si>
    <t>PLf розетка внутр.темная бронза</t>
  </si>
  <si>
    <t>PLf розетка внутренняя белая</t>
  </si>
  <si>
    <t>Dodany szablon na słupek do Gealana</t>
  </si>
  <si>
    <t>Ширина рамы:</t>
  </si>
  <si>
    <t>Высота рамы:</t>
  </si>
  <si>
    <t>PIN ABDECKKAPPE MB R05.3</t>
  </si>
  <si>
    <t>PIN ABDECKKAPPE MB R01.1</t>
  </si>
  <si>
    <t>Osłona MB R05.3 PIN</t>
  </si>
  <si>
    <t>Osłona MB R01.1 PIN</t>
  </si>
  <si>
    <t>R05.3 średni brąz</t>
  </si>
  <si>
    <t>R01.1 naturalny srebrny</t>
  </si>
  <si>
    <t>PIN COVER CAP MULLION R05.3</t>
  </si>
  <si>
    <t>PIN COVER CAP MULLION R01.1</t>
  </si>
  <si>
    <t>Декоративная накладка MB R05.3</t>
  </si>
  <si>
    <t>Декоративная накладка MB R01.1</t>
  </si>
  <si>
    <t>Dodane osłony zaczepów na słupku w kolorze R01.1 oraz R05.3</t>
  </si>
  <si>
    <t>K.Nowak&amp;P.Dolman</t>
  </si>
  <si>
    <t>Pochwyt zlicowany 43mm R01.1 PIN</t>
  </si>
  <si>
    <t>Pochwyt zlicowany 43mm R01.2 PIN</t>
  </si>
  <si>
    <t>Pochwyt zlicowany 43mm R01.3 PIN</t>
  </si>
  <si>
    <t>Pochwyt zlicowany 43mm R01.5 PIN</t>
  </si>
  <si>
    <t>Pochwyt zlicowany 43mm R02.2 PIN</t>
  </si>
  <si>
    <t>Pochwyt zlicowany 43mm R05.3 PIN</t>
  </si>
  <si>
    <t>Pochwyt zlicowany 43mm R05.4 PIN</t>
  </si>
  <si>
    <t>Pochwyt zlicowany 43mm R05.5 PIN</t>
  </si>
  <si>
    <t>Pochwyt zlicowany 43mm R06.2M PIN</t>
  </si>
  <si>
    <t>Pochwyt zlicowany 43mm R07.2 PIN</t>
  </si>
  <si>
    <t>Pochwyt zlicowany 43mm R07.3 PIN</t>
  </si>
  <si>
    <t>Pochwyt zlicowany 43mm surowy PIN</t>
  </si>
  <si>
    <t>ROL PIN GR-MULDE AUS 43MM OL R01.1</t>
  </si>
  <si>
    <t>ROL PIN RECESSED GRIP 43MM OL R01.1</t>
  </si>
  <si>
    <t>Ручка-прихватка 43MM без логотипа R01.1</t>
  </si>
  <si>
    <t>ROL PIN RECESSED GRIP 43MM OL R01.2</t>
  </si>
  <si>
    <t>ROL PIN GR-MULDE AUS 43MM OL R01.3</t>
  </si>
  <si>
    <t>ROL PIN RECESSED GRIP 43MM OL R01.3</t>
  </si>
  <si>
    <t>ROL PIN GR-MULDE AUS 43MM OL R01.5</t>
  </si>
  <si>
    <t>ROL PIN RECESSED GRIP 43MM OL R01.5</t>
  </si>
  <si>
    <t>ROL PIN GR-MULDE AUS 43MM OL R02.2</t>
  </si>
  <si>
    <t>ROL PIN RECESSED GRIP 43MM OL R02.2</t>
  </si>
  <si>
    <t>ROL PIN GR-MULDE AUS 43MM OL R05.3</t>
  </si>
  <si>
    <t>ROL PIN RECESSED GRIP 43MM OL R05.3</t>
  </si>
  <si>
    <t>Ручка-прихватка 43MM без логотипа R05.3</t>
  </si>
  <si>
    <t>ROL PIN GR-MULDE AUS 43MM OL R05.4</t>
  </si>
  <si>
    <t>ROL PIN RECESSED GRIP 43MM OL R05.4</t>
  </si>
  <si>
    <t>Ручка-прихватка 43MM без логотипа R05.4</t>
  </si>
  <si>
    <t>ROL PIN GR-MULDE AUS 43MM OL R05.5</t>
  </si>
  <si>
    <t>ROL PIN RECESSED GRIP 43MM OL R05.5</t>
  </si>
  <si>
    <t>Ручка-прихватка 43MM без логотипа R05.5</t>
  </si>
  <si>
    <t>ROL PIN GR-MULDE AUS 43MM OL R07.2</t>
  </si>
  <si>
    <t>ROL PIN RECESSED GRIP 43MM OL R07.2</t>
  </si>
  <si>
    <t>Ручка-прихватка 43MM без логотипа R07.2</t>
  </si>
  <si>
    <t>ROL PIN GR-MULDE AUS 43MM OL R07.3</t>
  </si>
  <si>
    <t>ROL PIN RECESSED GRIP 43MM OL R07.3</t>
  </si>
  <si>
    <t>Ручка-прихватка 43MM без логотипа R07.3</t>
  </si>
  <si>
    <t>ROL PIN GR-MULDE AUS 43MM OL ROH</t>
  </si>
  <si>
    <t>ROL PIN RECESSED GRIP 43MM OL RAW</t>
  </si>
  <si>
    <t>ROL PIN GR-MULDE AUS 43MM OL R06.2M</t>
  </si>
  <si>
    <t>ROL PIN RECESSED GRIP 43MM OL R06.2M</t>
  </si>
  <si>
    <t>Ручка-прихватка 43MM без лого R06.2М</t>
  </si>
  <si>
    <t>ROL PIN GR-MULDE AUS 43MM OL R01.2</t>
  </si>
  <si>
    <t>Ручка-прихватка 43MM без логотипа R01.2</t>
  </si>
  <si>
    <t>Ручка-прихватка 43MM без логотипа R01.3</t>
  </si>
  <si>
    <t>Ручка-прихватка 43MM без логотипа R01.5</t>
  </si>
  <si>
    <t>Ручка-прихватка 43MM без логотипа R02.2</t>
  </si>
  <si>
    <t>Ручка-прихватка 43MM без логотипа сырье</t>
  </si>
  <si>
    <t>surowy</t>
  </si>
  <si>
    <t>NOWE POCHWYTY</t>
  </si>
  <si>
    <t>R02.2 Antracyt</t>
  </si>
  <si>
    <t>R02.2 Anthrazit</t>
  </si>
  <si>
    <t>R02.2 Anthracite</t>
  </si>
  <si>
    <t>R02.2 антрацит</t>
  </si>
  <si>
    <t>ROH</t>
  </si>
  <si>
    <t>raw</t>
  </si>
  <si>
    <t>сырье</t>
  </si>
  <si>
    <t>skrzydło czynne</t>
  </si>
  <si>
    <t>skrzydło bierne</t>
  </si>
  <si>
    <t>Dodane nowe pochwyty</t>
  </si>
  <si>
    <t>P.Dolman&amp;K.Nowak</t>
  </si>
  <si>
    <t>Klamki dla Aluplast zmienione na trzpień 43 mm - jak Gealan</t>
  </si>
  <si>
    <t>Nakładka naprawcza-łącznik okuć NT</t>
  </si>
  <si>
    <t>VERBINDUNGSLASCHE NT</t>
  </si>
  <si>
    <t>NT FACEPLATE FLAP</t>
  </si>
  <si>
    <t>Соед.накладка NT</t>
  </si>
  <si>
    <t>Przycinanie przycinarką</t>
  </si>
  <si>
    <t>Stosowanie nakładek montażowych</t>
  </si>
  <si>
    <t>Trimmen mit einem Trimmer</t>
  </si>
  <si>
    <t>Die Verwendung von Montagedeckeln</t>
  </si>
  <si>
    <t>Trimming with a trimmer</t>
  </si>
  <si>
    <t>The use of assembly covers</t>
  </si>
  <si>
    <t>Отделка триммером</t>
  </si>
  <si>
    <t>Использование монтажных чехлов</t>
  </si>
  <si>
    <t>Montaż okuć:</t>
  </si>
  <si>
    <t>Montage von Beschlägen:</t>
  </si>
  <si>
    <t>Assembly of fittings:</t>
  </si>
  <si>
    <t>Сборка арматуры:</t>
  </si>
  <si>
    <t>Dodane nakładki montażowe do wyboru</t>
  </si>
  <si>
    <t>Klamka R-line 43mm 200 R02.2 ALV</t>
  </si>
  <si>
    <t>Klamka R-line/klucz100Nm43mm200R02.2ALV</t>
  </si>
  <si>
    <t>Klamka R-lineDwustr.nisk100mm200R02.2ALV</t>
  </si>
  <si>
    <t>ROL PALV STD 43 ML 200 R02.2</t>
  </si>
  <si>
    <t>ROL PALV TGRRSX 100 ML M5X100 200 R02.2</t>
  </si>
  <si>
    <t>ROL ALV GR 43 200 M. L. R02.2</t>
  </si>
  <si>
    <t>ROL GR 200 ABS 100NM 43 M. L. R 02.2</t>
  </si>
  <si>
    <t>ROL ALV 100 M5X100 ML TGRRSX R02.2</t>
  </si>
  <si>
    <t>Ручка RotoLine с ключом 100Nm43 мм 200R02.2ALV</t>
  </si>
  <si>
    <t>Ручка RotoLine двухсторонняя низкая 100 мм 200R02.2ALV</t>
  </si>
  <si>
    <t>Ручка RotoLine 43 мм  200 R02.2 ALV</t>
  </si>
  <si>
    <r>
      <t>Dodany kolor R02.2 antrcyt dla klamek - dla schematów A i C dodane tylko klamki z trzpieniem 43 mm -</t>
    </r>
    <r>
      <rPr>
        <b/>
        <sz val="11"/>
        <color rgb="FFFF0000"/>
        <rFont val="Calibri"/>
        <family val="2"/>
        <charset val="238"/>
        <scheme val="minor"/>
      </rPr>
      <t xml:space="preserve"> inne nie ruszane!!!</t>
    </r>
  </si>
  <si>
    <t>P. Dolman&amp;K.Nowal</t>
  </si>
  <si>
    <t>Ukryte schematy A' i C'</t>
  </si>
  <si>
    <t>Elementy do schematu C:</t>
  </si>
  <si>
    <t>Kpl. elem. antywyważ. schemat C  PVC PIN</t>
  </si>
  <si>
    <t>Trzpień docisku środk. 34X8 p-wyw. PIN</t>
  </si>
  <si>
    <t>Docisk środkowy 10 41 L PIN</t>
  </si>
  <si>
    <t>Docisk środkowy 10 41 R PIN</t>
  </si>
  <si>
    <t>Zaczep do docisku p-wyw.  MB KPL PIN</t>
  </si>
  <si>
    <t>Osłona zacz. antywyw. MB R06.2 PIN</t>
  </si>
  <si>
    <t>Osłona zacz. antywyw. MB R07.2 PIN</t>
  </si>
  <si>
    <t>Odbojnik gumowy 14 RAL9005 PIN</t>
  </si>
  <si>
    <t>Zasuwn. KSR 2290/1000 D35 bez zacz. PIN</t>
  </si>
  <si>
    <t>Zasuwn. KSR 1090/513 D35 bez zacz. PIN</t>
  </si>
  <si>
    <t>Zasuwn. KSR 1290/563 D35 bez zacz. PIN</t>
  </si>
  <si>
    <t>Zasuwn. KSR 1690/1000 D35 bez zacz. PIN</t>
  </si>
  <si>
    <t>Zasuwn. KSR 1890/1000 D35 bez zacz. PIN</t>
  </si>
  <si>
    <t>FFH wysokość skrzydła na wrębie (min: 600 mm; max: 2500 mm):</t>
  </si>
  <si>
    <t>FFH Flügelfalzhöhe (min: 600 mm; max: 2500 mm)</t>
  </si>
  <si>
    <t>Sash rebate height SRH (min: 600 mm; max: 2500 mm)</t>
  </si>
  <si>
    <t>Высота створки по фальцу ВСФ (min: 600 мм; max: 2500 мм)</t>
  </si>
  <si>
    <t>Skrzydło czynne</t>
  </si>
  <si>
    <t>Kierunek otwierania skrzydła czynnego:</t>
  </si>
  <si>
    <t>Direction active sash:</t>
  </si>
  <si>
    <t>Osłonka zaczepu antywyważeniowego:</t>
  </si>
  <si>
    <t>Cover cap for anti-pushback:</t>
  </si>
  <si>
    <t>Abdeckkappe Rückschiebesicherung:</t>
  </si>
  <si>
    <t>Richtung activer Flügel:</t>
  </si>
  <si>
    <t>Schemat A' w opracowaniu</t>
  </si>
  <si>
    <t>Schemat C' w opracowaniu</t>
  </si>
  <si>
    <t>Schemat K w opracowaniu</t>
  </si>
  <si>
    <t>Schemat K' w opracowaniu</t>
  </si>
  <si>
    <t>Diagram A' in progress</t>
  </si>
  <si>
    <t>Schema A' in Bearbeitung</t>
  </si>
  <si>
    <t>Schema C' in Bearbeitung</t>
  </si>
  <si>
    <t>Schema K in Bearbeitung</t>
  </si>
  <si>
    <t>Schema K' in Bearbeitung</t>
  </si>
  <si>
    <t>Diagram C' in progress</t>
  </si>
  <si>
    <t>Diagram K in progress</t>
  </si>
  <si>
    <t>Diagram K' in progress</t>
  </si>
  <si>
    <t>Диаграмма A' в процессе</t>
  </si>
  <si>
    <t>Диаграмма C' в процессе</t>
  </si>
  <si>
    <t xml:space="preserve"> </t>
  </si>
  <si>
    <t>Диаграмма K в процессе</t>
  </si>
  <si>
    <t>Диаграмма K' в процессе</t>
  </si>
  <si>
    <t xml:space="preserve">Uzupełniony schemat C dla Aluplasta </t>
  </si>
  <si>
    <t>P. Dolman - IMO v4</t>
  </si>
  <si>
    <t>Dodany komentarz do schematów A',C', K, K' że są w opracowaniu</t>
  </si>
  <si>
    <t>Przymiar wiert.docisk.międzyPIN ALU</t>
  </si>
  <si>
    <t>Przymiar wiert. wózka/jedno.ster.PIN ALU</t>
  </si>
  <si>
    <t>Przymiar wiert. docisku międzyzaw.PIN ALU</t>
  </si>
  <si>
    <t>Dodane szablony do Inowy ALU</t>
  </si>
  <si>
    <t>M. Rutkowski</t>
  </si>
  <si>
    <t>Link do instrukcji DE</t>
  </si>
  <si>
    <t>Link zu den Anleitungen DE</t>
  </si>
  <si>
    <t>Link to the instruction DE</t>
  </si>
  <si>
    <t>Ссылка на инструкцию DE</t>
  </si>
  <si>
    <t>Link do instrukcji PL</t>
  </si>
  <si>
    <t>Link to the instruction PL</t>
  </si>
  <si>
    <t>Ссылка на инструкцию PL</t>
  </si>
  <si>
    <t>Link zu den Anleitungen PL</t>
  </si>
  <si>
    <t>Przygotowany link pod IMO_403 PL - czekam aż pojawi się na stronie ROTO</t>
  </si>
  <si>
    <t>Декоративная накладка защиты от взлома</t>
  </si>
  <si>
    <t>Trzpień docisku środk. 20X8 p-wyw. PIN</t>
  </si>
  <si>
    <t>Docisk środkowy 10 50.8 L PIN</t>
  </si>
  <si>
    <t>Docisk środkowy 10 50.8 R PIN</t>
  </si>
  <si>
    <t>Szczotka wózka PIN</t>
  </si>
  <si>
    <t>Odbojnik gumowy 16,5 RAL9005 PIN</t>
  </si>
  <si>
    <t>Odbojnik gumowy 21x11.5 RAL9005 Inowa</t>
  </si>
  <si>
    <t>PIN K SET SFR 31.7 SCHEMA C</t>
  </si>
  <si>
    <t>PIN STIFT RÜCKSCHIEBESICHERUNG 8X20</t>
  </si>
  <si>
    <t>PIN STIFT RSS ABGESETZT 8X34</t>
  </si>
  <si>
    <t>PIN MITTELSCHLIESSER 10 50.8 L</t>
  </si>
  <si>
    <t>PIN MITTELSCHLIESSER 10 50.8 R</t>
  </si>
  <si>
    <t>PIN SST RÜCKSCHIEBESICHERUNG</t>
  </si>
  <si>
    <t>PIN SH ABDECKKAPPE SST MB R06.2</t>
  </si>
  <si>
    <t>PIN SH ABDECKKAPPE SST MB R07.2</t>
  </si>
  <si>
    <t>PIN BÜRSTENTRÄGER LAUFWAGEN</t>
  </si>
  <si>
    <t>PIN GUMMIPUFFER 16.5 RAL9005</t>
  </si>
  <si>
    <t>PIN GUMMIPUFFER 17.5 RAL 9005</t>
  </si>
  <si>
    <t>PIN KSR-GTR 1090/513 D35</t>
  </si>
  <si>
    <t>PIN KSR-GTR 1290/563 D35</t>
  </si>
  <si>
    <t>PIN KSR GTR 1690/1000  D35</t>
  </si>
  <si>
    <t>PIN KSR GTR 1890/1000 D35</t>
  </si>
  <si>
    <t>PIN KSR-GTR 2290/1000 D35</t>
  </si>
  <si>
    <t>PIN PVC SET SEQ OF OPERATION DIAGRAM C</t>
  </si>
  <si>
    <t>PIN PIN DISPLACEMENT LOCK 8X20</t>
  </si>
  <si>
    <t>PIN PIN DISPLACEMENT LOCK 8X34</t>
  </si>
  <si>
    <t>PIN CENTRAL BEAM LOCKING DEVICE10 50.8 L</t>
  </si>
  <si>
    <t>PIN CENTRAL BEAM LOCKING DEVICE10 50.8 R</t>
  </si>
  <si>
    <t>PIN STRIKER PUSH BACK SECURITY</t>
  </si>
  <si>
    <t>PIN RC COVER CAP STRIKER CENTRE R06.2</t>
  </si>
  <si>
    <t>PIN RC COVER CAP STRIKER CENTRE R07.2</t>
  </si>
  <si>
    <t>PIN BRUSH HOLDER BOGIE</t>
  </si>
  <si>
    <t>PIN RUBBER STOP 16.5 RAL9005</t>
  </si>
  <si>
    <t>PIN RUBBER STOP 17.5 RAL9005</t>
  </si>
  <si>
    <t>PIN KSR-ESPAGNOLETTE 1090/513 BS35</t>
  </si>
  <si>
    <t>PIN KSR-ESPAGNOLETTE 1290/563 BS35</t>
  </si>
  <si>
    <t>PIN KSR-ESPAGNOLETTE 1690/563 BS35</t>
  </si>
  <si>
    <t>PIN KSR-ESPAGNOLETTE 1890/1000 BS35</t>
  </si>
  <si>
    <t>PIN KSR-ESPAGNOLETTE 2290/1000 BS35</t>
  </si>
  <si>
    <t>PIN BOHRLEHRE LAUFWAG / STEUEREINHEIT 51</t>
  </si>
  <si>
    <t>PIN BOHRLEHRE MITTELSCHL. 51</t>
  </si>
  <si>
    <t>PIN DRILLING JIG BOGIE / CONTROL UNIT 51</t>
  </si>
  <si>
    <t>PIN DRILLING JIG CENTRE-CLOSER 51</t>
  </si>
  <si>
    <t>Klamka R-line 43mm 200 R180 R01.1 PIN</t>
  </si>
  <si>
    <t>Klamka R-line 43mm 200 R180 R06.2M PIN</t>
  </si>
  <si>
    <t>Klamka R-line 43mm 200 R180 R07.2 PIN</t>
  </si>
  <si>
    <t>Klamka R-line/przycisk 43mm 200R01.1PIN</t>
  </si>
  <si>
    <t>Klamka R-line/przycisk 43mm 200R06.2MPIN</t>
  </si>
  <si>
    <t>Klamka R-line/przycisk 43mm 200R07.2PIN</t>
  </si>
  <si>
    <t>PIN STIFT RSS ABGESETZT 8X38</t>
  </si>
  <si>
    <t>Klamka 200mm z przyciskiem</t>
  </si>
  <si>
    <t>Griffe 200mm Druckknopf</t>
  </si>
  <si>
    <t>Handle 200mm Push-to-open</t>
  </si>
  <si>
    <t>Ручка 200 мм с кнопкой</t>
  </si>
  <si>
    <t>Klamka 200mm z przyciskiem dostępna w kolorach: R01.1, R06.2M, R07.2</t>
  </si>
  <si>
    <t>Griffe 200mm Druckknopf in farben erhältlich: R01.1, R06.2M, R07.2</t>
  </si>
  <si>
    <t>Handle 200mm Push-to-open available in colour: : R01.1, R06.2M, R07.2</t>
  </si>
  <si>
    <t>Ручка 200 мм с кнопкой доступны в цветах: R01.1, R06.2M, R07.2</t>
  </si>
  <si>
    <t>Dodatki:</t>
  </si>
  <si>
    <t>щетка для тележки</t>
  </si>
  <si>
    <t>Средний прижим 8 41 L</t>
  </si>
  <si>
    <t>Средний прижим 8 41 R</t>
  </si>
  <si>
    <t>Osłona zacz. antywyw. MB R01.1 PIN</t>
  </si>
  <si>
    <t>Osłona zacz. antywyw. MB R05.3 PIN</t>
  </si>
  <si>
    <t>PIN SH ABDECKKAPPE SST MB R01.1</t>
  </si>
  <si>
    <t>PIN SH ABDECKKAPPE SST MB R05.3</t>
  </si>
  <si>
    <t>PIN RC COVER CAP STRIKER CENTRE R01.1</t>
  </si>
  <si>
    <t>PIN RC COVER CAP STRIKER CENTRE R05.3</t>
  </si>
  <si>
    <t>Zubehör:</t>
  </si>
  <si>
    <t>Accessories:</t>
  </si>
  <si>
    <t>Дополнительно:</t>
  </si>
  <si>
    <t>W schemacie C dodatkowa przedłużka na plecach w skrzydle biernym wymieniona z błędnej 130 na 200</t>
  </si>
  <si>
    <t>G. Adamczyk</t>
  </si>
  <si>
    <t>Dodana opcja wyboru szczotek wózka</t>
  </si>
  <si>
    <t>W schemacie C wymienione numery docisków środkowych (zmieniły się w IMO v5  w stosunku do IMO v4)</t>
  </si>
  <si>
    <t xml:space="preserve">Dodana opcja wyboru zamknięć środkowych 130 na plecach </t>
  </si>
  <si>
    <t>W schemacie C dodane nowe osłonki zaczepu antywyważeniowego R01.1 i R05.3</t>
  </si>
  <si>
    <t>Dodane klamki z przyciskiem i info, że występują tylko w 3 kolorach</t>
  </si>
  <si>
    <t>Poprawione zakresy dla docisków i elementów na plecach w przedziale 2201-2400 w zależności od 130</t>
  </si>
  <si>
    <t>P. Siemiątkowski</t>
  </si>
  <si>
    <t>NT KSR GTR DK 690 263 D25</t>
  </si>
  <si>
    <t>NT KSR GTR DK 890 413 D25</t>
  </si>
  <si>
    <t>PIN KSR GTR 1690/563  D25</t>
  </si>
  <si>
    <t>PIN KSR GTR 1890/1000 D25</t>
  </si>
  <si>
    <t>PIN KSR-GTR 1090/513 D25</t>
  </si>
  <si>
    <t>PIN KSR-GTR 1290/563 D25</t>
  </si>
  <si>
    <t>PIN KSR-GTR 2290/1000 D25</t>
  </si>
  <si>
    <t>PIN KSR-ESPAG. 890/413 BS25</t>
  </si>
  <si>
    <t>PIN KSR-ESPAGN. 690/263 BS25</t>
  </si>
  <si>
    <t>PIN KSR-ESPAGNOLETTE 1090/513 BS25</t>
  </si>
  <si>
    <t>PIN KSR-ESPAGNOLETTE 1290/563 BS25</t>
  </si>
  <si>
    <t>PIN KSR-ESPAGNOLETTE 1890/1000 BS25</t>
  </si>
  <si>
    <t>PIN KSR-ESPAGNOLETTE 1890/563 BS25</t>
  </si>
  <si>
    <t>PIN KSR-ESPAGNOLETTE 2290/1000 BS25</t>
  </si>
  <si>
    <t>Skrzydło bierne Aluplast</t>
  </si>
  <si>
    <t>Skrzydło bierne Gealan</t>
  </si>
  <si>
    <t>Zasuwn. NT R/U KSR 690/600-800 D25 PIN</t>
  </si>
  <si>
    <t>Zasuwn. NT R/U KSR 890/801-1000 D25 PIN</t>
  </si>
  <si>
    <t>Zasuwn. KSR 1001-1200 D25 bez zacz. PIN</t>
  </si>
  <si>
    <t>Zasuwn. KSR 1201-1600 D25 bez zacz. PIN</t>
  </si>
  <si>
    <t>Zasuwn. KSR 1601-1800 D25 bez zacz. PIN</t>
  </si>
  <si>
    <t>Zasuwn. KSR 1801-2400 D25 bez zacz. PIN</t>
  </si>
  <si>
    <t>Zasuwn. KSR 2401-2500 D25 bez zacz. PIN</t>
  </si>
  <si>
    <t>Trzpień p-wyw docisku środk. 38X8 PIN</t>
  </si>
  <si>
    <t>PIN PIN DISPLACEMENT LOCK 8X38</t>
  </si>
  <si>
    <t>Kpl. elem. p-wyw schemat C 31.3 PIN</t>
  </si>
  <si>
    <t>PIN K SET SFR SCHEMA C 31.3</t>
  </si>
  <si>
    <t>PIN PVC SET SOO DIAGRAM C 31.3</t>
  </si>
  <si>
    <t>Stosować tylko dla warunku FFH ≥1200 mm</t>
  </si>
  <si>
    <t>FFH ≥1200 mm</t>
  </si>
  <si>
    <t>SRH ≥1200 mm</t>
  </si>
  <si>
    <t>Dodane elementu dla Schematu C dla Gealana: zasuwnice D25, trzpień antywyważeniowy, Zestaw ustalający kolejność otwierania</t>
  </si>
  <si>
    <t>Dodana informacja w Schemacie C: Zestaw ustalający kolejność otwierania stosować tylko powyżej 1200 mm</t>
  </si>
  <si>
    <t>Zaczep blok.bł.obsługi ALU 14.4 PIN</t>
  </si>
  <si>
    <t>PIN HK FEHLBEDIENUNG SST 12.2</t>
  </si>
  <si>
    <t>PIN t/pvc mishand. security striker 12.2</t>
  </si>
  <si>
    <t>PIN t/pvc mishand. striker 12.2</t>
  </si>
  <si>
    <t>PIN ALU FEHLBEDIENUNG SST 14.4</t>
  </si>
  <si>
    <t>Schemat A RC2</t>
  </si>
  <si>
    <t>Schema A RC2</t>
  </si>
  <si>
    <t>Diagram A RC2</t>
  </si>
  <si>
    <t>Диаграмма A RC2</t>
  </si>
  <si>
    <t>Roto Patio Inowa Schemat A RC2</t>
  </si>
  <si>
    <t>Roto Patio Inowa Schema A RC2</t>
  </si>
  <si>
    <t>Roto Patio Inowa Diagram A RC2</t>
  </si>
  <si>
    <t>Roto Patio Inowa Диаграмма A РС2</t>
  </si>
  <si>
    <t>FFH wysokość skrzydła na wrębie (min: 1072 mm; max: 2500 mm):</t>
  </si>
  <si>
    <t>FFH Flügelfalzhöhe (min: 1072 mm; max: 2500 mm)</t>
  </si>
  <si>
    <t>Sash rebate height SRH (min: 1072 mm; max: 2500 mm)</t>
  </si>
  <si>
    <t>Высота створки по фальцу ВСФ (min: 1072 мм; max: 2500 мм)</t>
  </si>
  <si>
    <t>(dobór przygotowany wg instrukcji IMO_403_DE_v7)</t>
  </si>
  <si>
    <t>(Beschlagliste nach IMO_403_DE_v7 vorbereitet)</t>
  </si>
  <si>
    <t>(collection according IMO_403_DE_v7)</t>
  </si>
  <si>
    <t>(Подбор произведён в соответствии с инструкцией IMO_403_DE_v7)</t>
  </si>
  <si>
    <t>Zamkn. środkowe 1E NT MV400</t>
  </si>
  <si>
    <t>Zamkn. środkowe 1E NT MV400 łączone</t>
  </si>
  <si>
    <t>MV 400 1E           NT       .N401A20206</t>
  </si>
  <si>
    <t>MV 400 KB 1E KB......I</t>
  </si>
  <si>
    <t>NT CENTRE LOCK 400, 1E</t>
  </si>
  <si>
    <t>NT CENTRE LOCK 400, 1E, CLAMPABLE</t>
  </si>
  <si>
    <t>С-запор 400 стандартный 1E</t>
  </si>
  <si>
    <t>Сред. запор 400 соед. 1Е NT</t>
  </si>
  <si>
    <t>PIN HK SH-SST 12.2 NIRO</t>
  </si>
  <si>
    <t>Zaczep p-wyw drewno/PVC 12.2 NIRO PIN</t>
  </si>
  <si>
    <t>PIN TIMBER/PVC SEC STRIKER 12.2 NIRO</t>
  </si>
  <si>
    <t>RC2</t>
  </si>
  <si>
    <t>Elementy do RC2:</t>
  </si>
  <si>
    <t>Blokada antyrozwierceniowa NT</t>
  </si>
  <si>
    <t>NT ABS D8-D50</t>
  </si>
  <si>
    <t>Защита от высверливания NT</t>
  </si>
  <si>
    <t>PIN штифт защиты от сдвига 8X34</t>
  </si>
  <si>
    <t>PIN H/K SH-SST MB</t>
  </si>
  <si>
    <t>PIN T/PVC SEC-STRIKER CENTRE CLOSER</t>
  </si>
  <si>
    <t>Zaczep p-wyw RC2 sł.środkowy AluplastPIN</t>
  </si>
  <si>
    <t>Zaczep p-wyw RC2 sł.środkowy Gealan PIN</t>
  </si>
  <si>
    <t>PIN H/K SH-SST MB 2,5X34,2</t>
  </si>
  <si>
    <t>PIN T/PVC SEC-STRIKER 2,5X34,2</t>
  </si>
  <si>
    <t>Trzpień p-wyw docisku środk. 34X8 PIN</t>
  </si>
  <si>
    <t>również RC2</t>
  </si>
  <si>
    <t>Dodane na liście elementów - zakładka SAP - nowe numery Blokady Błędnej Obsługi - PI 2019/1478 - do zmiany po wyprzedaniu stanów</t>
  </si>
  <si>
    <t xml:space="preserve">Dodanie nowego arkusza Schemat A RC2 - dobory pod Aluplast i Gealan </t>
  </si>
  <si>
    <t>Szablon zaczepu p-wyw RC2 Aluplast PIN</t>
  </si>
  <si>
    <t>PIN K SH SST BOHRLEHRE MB ALUPLAST</t>
  </si>
  <si>
    <t>Szablon zaczepu p-wyw RC2 Gealan PIN</t>
  </si>
  <si>
    <t>PIN K SH SST BOHRLEHRE MB GEALAN</t>
  </si>
  <si>
    <t>Szablon zaczepu zabezpiecz. Aluplast PIN</t>
  </si>
  <si>
    <t>PIN K SST RSS BOHRLEHRE MB ALUPLAST</t>
  </si>
  <si>
    <t>Szablon zaczepu zabezpiecz. Gealan PIN</t>
  </si>
  <si>
    <t>PIN K SST RSS BOHRLEHRE MB GEALAN</t>
  </si>
  <si>
    <t>PIN PVC SEC. STRIKER DRILL. JIG CTRE CL</t>
  </si>
  <si>
    <t>PIN PVC STRIK PBS DRILL. JIG CTR CL</t>
  </si>
  <si>
    <t>Instrukcja montażu IMO_403_DE_v7</t>
  </si>
  <si>
    <t>Instrukcja montażu IMO_403_PL_v7</t>
  </si>
  <si>
    <t>Bedienungsanleitung IMO_403_DE_v7</t>
  </si>
  <si>
    <t>Bedienungsanleitung IMO_403_PL_v7</t>
  </si>
  <si>
    <t>Installation, maintenance and operating instructions IMO_403_DE_v7</t>
  </si>
  <si>
    <t>Installation, maintenance and operating instructions IMO_403_PL_v7</t>
  </si>
  <si>
    <t>Монтажная инструкция IMO_403_DE_v7</t>
  </si>
  <si>
    <t>Монтажная инструкция IMO_403_PL_v7</t>
  </si>
  <si>
    <t>Instrukcja montażu IMO_403_PL_Aluplast_10.2019</t>
  </si>
  <si>
    <t>Instrukcja montażu IMO_403_PL_Gealan_10.2019</t>
  </si>
  <si>
    <t>Bedienungsanleitung IMO_403_PL_aluplast_10.2019</t>
  </si>
  <si>
    <t>Bedienungsanleitung IMO_403_PL_gealan_10.2019</t>
  </si>
  <si>
    <t>Installation, maintenance and operating instructions IMO_403_PL_aluplast_10.2019</t>
  </si>
  <si>
    <t>Installation, maintenance and operating instructions IMO_403_PL_gealan_10.2019</t>
  </si>
  <si>
    <t>Монтажная инструкция IMO_403_PL_aluplast_10.2019</t>
  </si>
  <si>
    <t>Монтажная инструкция IMO_403_PL_gealan_10.2019</t>
  </si>
  <si>
    <t>W arkuszu Szablony: dodane szablony do RC2, zaktualizowane numery i daty instrukcji</t>
  </si>
  <si>
    <t>Dobór Roto Patio Inowa, schemat A RC2</t>
  </si>
  <si>
    <t>Roto Patio Inowa Диаграмма A PC2</t>
  </si>
  <si>
    <t>Sugestia: dodać zaczep bł. Poł klamki jako opcję -&gt; w standardzie tylko zwykłe zaczepy</t>
  </si>
  <si>
    <t>S. Niestrój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</si>
</sst>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24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sz val="8"/>
      <color rgb="FF000000"/>
      <name val="Tahoma"/>
      <family val="2"/>
      <charset val="238"/>
    </font>
    <font>
      <u/>
      <sz val="9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/>
    <xf numFmtId="0" fontId="9" fillId="0" borderId="0"/>
  </cellStyleXfs>
  <cellXfs count="145">
    <xf numFmtId="0" fontId="0" fillId="0" borderId="0" xfId="0"/>
    <xf numFmtId="0" fontId="0" fillId="5" borderId="0" xfId="0" applyFill="1"/>
    <xf numFmtId="0" fontId="0" fillId="4" borderId="0" xfId="0" applyFill="1"/>
    <xf numFmtId="0" fontId="3" fillId="4" borderId="0" xfId="0" applyFont="1" applyFill="1"/>
    <xf numFmtId="0" fontId="10" fillId="4" borderId="0" xfId="2" applyFill="1" applyAlignment="1">
      <alignment horizontal="center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6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1" fillId="0" borderId="1" xfId="0" applyFont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1" fillId="3" borderId="0" xfId="0" applyFont="1" applyFill="1" applyProtection="1">
      <protection locked="0"/>
    </xf>
    <xf numFmtId="0" fontId="0" fillId="4" borderId="3" xfId="0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7" fillId="5" borderId="4" xfId="0" applyFont="1" applyFill="1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center"/>
    </xf>
    <xf numFmtId="0" fontId="0" fillId="4" borderId="0" xfId="0" applyFill="1" applyProtection="1"/>
    <xf numFmtId="0" fontId="10" fillId="4" borderId="0" xfId="2" applyFill="1" applyAlignment="1" applyProtection="1">
      <alignment horizontal="center"/>
    </xf>
    <xf numFmtId="0" fontId="0" fillId="0" borderId="0" xfId="0" applyProtection="1"/>
    <xf numFmtId="0" fontId="3" fillId="4" borderId="0" xfId="0" applyFont="1" applyFill="1" applyProtection="1"/>
    <xf numFmtId="0" fontId="4" fillId="4" borderId="0" xfId="0" applyFont="1" applyFill="1" applyAlignment="1" applyProtection="1">
      <alignment horizontal="left" vertical="center"/>
    </xf>
    <xf numFmtId="0" fontId="0" fillId="4" borderId="0" xfId="0" applyFill="1" applyAlignment="1" applyProtection="1">
      <alignment horizontal="right"/>
    </xf>
    <xf numFmtId="0" fontId="4" fillId="4" borderId="0" xfId="0" applyFont="1" applyFill="1" applyAlignment="1" applyProtection="1">
      <alignment horizontal="left"/>
    </xf>
    <xf numFmtId="0" fontId="13" fillId="5" borderId="1" xfId="2" applyFont="1" applyFill="1" applyBorder="1" applyAlignment="1" applyProtection="1">
      <alignment horizontal="center"/>
    </xf>
    <xf numFmtId="0" fontId="11" fillId="4" borderId="0" xfId="0" applyFont="1" applyFill="1" applyProtection="1"/>
    <xf numFmtId="0" fontId="4" fillId="4" borderId="0" xfId="0" applyFont="1" applyFill="1" applyProtection="1"/>
    <xf numFmtId="0" fontId="14" fillId="4" borderId="0" xfId="0" applyFont="1" applyFill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</xf>
    <xf numFmtId="0" fontId="7" fillId="4" borderId="0" xfId="0" applyFont="1" applyFill="1" applyProtection="1"/>
    <xf numFmtId="0" fontId="6" fillId="4" borderId="1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0" fillId="4" borderId="0" xfId="0" applyFont="1" applyFill="1" applyProtection="1"/>
    <xf numFmtId="0" fontId="6" fillId="7" borderId="1" xfId="0" applyFont="1" applyFill="1" applyBorder="1" applyProtection="1"/>
    <xf numFmtId="0" fontId="0" fillId="0" borderId="1" xfId="0" applyBorder="1" applyProtection="1"/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>
      <alignment horizontal="right"/>
    </xf>
    <xf numFmtId="1" fontId="0" fillId="0" borderId="1" xfId="1" applyNumberFormat="1" applyFont="1" applyBorder="1" applyProtection="1"/>
    <xf numFmtId="0" fontId="0" fillId="6" borderId="0" xfId="0" applyFill="1" applyProtection="1"/>
    <xf numFmtId="164" fontId="0" fillId="0" borderId="1" xfId="0" applyNumberFormat="1" applyBorder="1" applyProtection="1"/>
    <xf numFmtId="164" fontId="0" fillId="0" borderId="0" xfId="0" applyNumberFormat="1" applyProtection="1"/>
    <xf numFmtId="0" fontId="6" fillId="4" borderId="0" xfId="0" applyFont="1" applyFill="1" applyBorder="1" applyAlignment="1" applyProtection="1">
      <alignment horizontal="center"/>
    </xf>
    <xf numFmtId="0" fontId="11" fillId="4" borderId="0" xfId="0" applyFont="1" applyFill="1" applyAlignment="1" applyProtection="1"/>
    <xf numFmtId="0" fontId="8" fillId="4" borderId="0" xfId="0" applyFont="1" applyFill="1" applyAlignment="1" applyProtection="1"/>
    <xf numFmtId="0" fontId="4" fillId="0" borderId="0" xfId="0" applyFont="1" applyFill="1" applyBorder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0" fontId="0" fillId="0" borderId="1" xfId="0" applyFill="1" applyBorder="1" applyProtection="1"/>
    <xf numFmtId="0" fontId="0" fillId="2" borderId="1" xfId="0" applyNumberFormat="1" applyFill="1" applyBorder="1" applyProtection="1">
      <protection locked="0"/>
    </xf>
    <xf numFmtId="0" fontId="0" fillId="0" borderId="1" xfId="0" applyBorder="1"/>
    <xf numFmtId="0" fontId="8" fillId="4" borderId="0" xfId="0" applyFont="1" applyFill="1" applyProtection="1"/>
    <xf numFmtId="0" fontId="8" fillId="4" borderId="0" xfId="0" applyFont="1" applyFill="1" applyAlignment="1" applyProtection="1">
      <alignment horizontal="right"/>
    </xf>
    <xf numFmtId="0" fontId="4" fillId="0" borderId="0" xfId="0" applyFont="1" applyProtection="1"/>
    <xf numFmtId="0" fontId="10" fillId="0" borderId="1" xfId="2" applyBorder="1" applyProtection="1"/>
    <xf numFmtId="0" fontId="14" fillId="4" borderId="0" xfId="0" applyFont="1" applyFill="1" applyProtection="1"/>
    <xf numFmtId="0" fontId="4" fillId="4" borderId="1" xfId="0" applyFont="1" applyFill="1" applyBorder="1" applyProtection="1"/>
    <xf numFmtId="0" fontId="4" fillId="0" borderId="0" xfId="0" applyFont="1" applyProtection="1">
      <protection locked="0"/>
    </xf>
    <xf numFmtId="0" fontId="0" fillId="7" borderId="0" xfId="0" applyFill="1" applyProtection="1"/>
    <xf numFmtId="0" fontId="0" fillId="7" borderId="1" xfId="0" applyFill="1" applyBorder="1" applyProtection="1"/>
    <xf numFmtId="0" fontId="0" fillId="3" borderId="1" xfId="0" applyFill="1" applyBorder="1" applyAlignment="1" applyProtection="1">
      <alignment horizontal="center"/>
    </xf>
    <xf numFmtId="0" fontId="0" fillId="7" borderId="5" xfId="0" applyFill="1" applyBorder="1" applyProtection="1"/>
    <xf numFmtId="0" fontId="0" fillId="7" borderId="2" xfId="0" applyFill="1" applyBorder="1" applyProtection="1"/>
    <xf numFmtId="0" fontId="0" fillId="3" borderId="1" xfId="0" applyFill="1" applyBorder="1" applyAlignment="1" applyProtection="1">
      <alignment horizontal="center"/>
      <protection locked="0"/>
    </xf>
    <xf numFmtId="0" fontId="0" fillId="7" borderId="0" xfId="0" applyFill="1" applyBorder="1" applyProtection="1"/>
    <xf numFmtId="0" fontId="0" fillId="3" borderId="0" xfId="0" applyFill="1" applyBorder="1" applyAlignment="1" applyProtection="1">
      <alignment horizontal="center"/>
      <protection locked="0"/>
    </xf>
    <xf numFmtId="0" fontId="0" fillId="0" borderId="1" xfId="0" applyFill="1" applyBorder="1"/>
    <xf numFmtId="0" fontId="5" fillId="4" borderId="0" xfId="0" applyFont="1" applyFill="1" applyProtection="1"/>
    <xf numFmtId="0" fontId="10" fillId="7" borderId="1" xfId="2" applyFill="1" applyBorder="1" applyProtection="1"/>
    <xf numFmtId="0" fontId="0" fillId="4" borderId="0" xfId="0" applyFill="1" applyAlignment="1" applyProtection="1">
      <alignment horizontal="center"/>
    </xf>
    <xf numFmtId="1" fontId="0" fillId="0" borderId="1" xfId="0" applyNumberFormat="1" applyBorder="1" applyProtection="1"/>
    <xf numFmtId="14" fontId="0" fillId="0" borderId="1" xfId="0" applyNumberFormat="1" applyBorder="1"/>
    <xf numFmtId="0" fontId="11" fillId="0" borderId="0" xfId="0" applyFont="1" applyProtection="1"/>
    <xf numFmtId="0" fontId="0" fillId="0" borderId="5" xfId="0" applyFill="1" applyBorder="1"/>
    <xf numFmtId="0" fontId="0" fillId="0" borderId="0" xfId="0" applyFill="1"/>
    <xf numFmtId="0" fontId="0" fillId="7" borderId="0" xfId="0" applyFill="1"/>
    <xf numFmtId="0" fontId="0" fillId="3" borderId="0" xfId="0" applyFill="1" applyProtection="1">
      <protection locked="0"/>
    </xf>
    <xf numFmtId="0" fontId="15" fillId="0" borderId="0" xfId="0" applyFont="1" applyFill="1" applyBorder="1" applyAlignment="1" applyProtection="1">
      <alignment horizontal="left"/>
    </xf>
    <xf numFmtId="0" fontId="15" fillId="4" borderId="0" xfId="0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0" fillId="4" borderId="5" xfId="0" applyFill="1" applyBorder="1" applyProtection="1"/>
    <xf numFmtId="0" fontId="16" fillId="5" borderId="4" xfId="0" applyFont="1" applyFill="1" applyBorder="1" applyAlignment="1" applyProtection="1">
      <alignment horizontal="center" vertical="center" wrapText="1"/>
    </xf>
    <xf numFmtId="0" fontId="11" fillId="4" borderId="0" xfId="0" applyFont="1" applyFill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/>
      <protection locked="0"/>
    </xf>
    <xf numFmtId="0" fontId="0" fillId="5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5" fillId="2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4" borderId="0" xfId="0" applyFill="1" applyBorder="1" applyProtection="1"/>
    <xf numFmtId="0" fontId="0" fillId="0" borderId="0" xfId="0" applyFill="1" applyProtection="1"/>
    <xf numFmtId="0" fontId="0" fillId="0" borderId="0" xfId="0" applyFill="1" applyProtection="1">
      <protection locked="0"/>
    </xf>
    <xf numFmtId="0" fontId="0" fillId="0" borderId="0" xfId="0" applyNumberFormat="1" applyProtection="1">
      <protection locked="0"/>
    </xf>
    <xf numFmtId="0" fontId="0" fillId="0" borderId="1" xfId="0" applyNumberFormat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8" borderId="1" xfId="0" applyFill="1" applyBorder="1"/>
    <xf numFmtId="0" fontId="0" fillId="3" borderId="1" xfId="0" applyFill="1" applyBorder="1"/>
    <xf numFmtId="0" fontId="0" fillId="6" borderId="1" xfId="0" applyFill="1" applyBorder="1" applyProtection="1">
      <protection locked="0"/>
    </xf>
    <xf numFmtId="0" fontId="0" fillId="4" borderId="0" xfId="0" applyFont="1" applyFill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8" fillId="0" borderId="0" xfId="0" applyFont="1" applyProtection="1"/>
    <xf numFmtId="0" fontId="4" fillId="4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center"/>
    </xf>
    <xf numFmtId="0" fontId="10" fillId="7" borderId="3" xfId="2" applyFill="1" applyBorder="1" applyProtection="1"/>
    <xf numFmtId="0" fontId="0" fillId="0" borderId="1" xfId="0" applyBorder="1" applyAlignment="1">
      <alignment wrapText="1"/>
    </xf>
    <xf numFmtId="0" fontId="19" fillId="4" borderId="0" xfId="0" applyFont="1" applyFill="1" applyProtection="1"/>
    <xf numFmtId="0" fontId="0" fillId="2" borderId="0" xfId="0" applyFill="1" applyBorder="1" applyProtection="1">
      <protection locked="0"/>
    </xf>
    <xf numFmtId="0" fontId="0" fillId="6" borderId="1" xfId="0" applyFill="1" applyBorder="1"/>
    <xf numFmtId="0" fontId="20" fillId="0" borderId="1" xfId="0" applyFont="1" applyBorder="1"/>
    <xf numFmtId="0" fontId="0" fillId="9" borderId="0" xfId="0" applyFill="1" applyProtection="1">
      <protection locked="0"/>
    </xf>
    <xf numFmtId="0" fontId="0" fillId="9" borderId="1" xfId="0" applyFill="1" applyBorder="1"/>
    <xf numFmtId="0" fontId="5" fillId="0" borderId="1" xfId="0" applyFont="1" applyBorder="1" applyAlignment="1">
      <alignment horizontal="right"/>
    </xf>
    <xf numFmtId="0" fontId="0" fillId="0" borderId="2" xfId="0" applyFill="1" applyBorder="1"/>
    <xf numFmtId="0" fontId="4" fillId="4" borderId="0" xfId="0" applyFont="1" applyFill="1" applyAlignment="1" applyProtection="1">
      <alignment horizontal="left" wrapText="1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5">
    <cellStyle name="Hiperłącze" xfId="2" builtinId="8"/>
    <cellStyle name="Normalny" xfId="0" builtinId="0"/>
    <cellStyle name="Normalny 2" xfId="4"/>
    <cellStyle name="Normalny 6" xfId="3"/>
    <cellStyle name="Procentowy" xfId="1" builtinId="5"/>
  </cellStyles>
  <dxfs count="27">
    <dxf>
      <font>
        <color theme="2" tint="-0.499984740745262"/>
      </font>
    </dxf>
    <dxf>
      <font>
        <color rgb="FF0070C0"/>
      </font>
    </dxf>
    <dxf>
      <font>
        <color rgb="FFFF0000"/>
      </font>
    </dxf>
    <dxf>
      <font>
        <color theme="2" tint="-0.499984740745262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0070C0"/>
      </font>
    </dxf>
    <dxf>
      <font>
        <color theme="2" tint="-0.499984740745262"/>
      </font>
    </dxf>
    <dxf>
      <font>
        <color rgb="FFFF0000"/>
      </font>
      <fill>
        <patternFill>
          <bgColor theme="0"/>
        </patternFill>
      </fill>
    </dxf>
    <dxf>
      <font>
        <color rgb="FF0070C0"/>
      </font>
    </dxf>
    <dxf>
      <font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</dxf>
    <dxf>
      <font>
        <color rgb="FF0070C0"/>
      </font>
    </dxf>
    <dxf>
      <font>
        <color rgb="FFFF0000"/>
      </font>
    </dxf>
    <dxf>
      <font>
        <color theme="2" tint="-0.499984740745262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0070C0"/>
      </font>
    </dxf>
    <dxf>
      <font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List" dx="16" fmlaLink="$C$206" fmlaRange="$C$199:$C$200" noThreeD="1" val="0"/>
</file>

<file path=xl/ctrlProps/ctrlProp10.xml><?xml version="1.0" encoding="utf-8"?>
<formControlPr xmlns="http://schemas.microsoft.com/office/spreadsheetml/2009/9/main" objectType="CheckBox" fmlaLink="$C$372" noThreeD="1"/>
</file>

<file path=xl/ctrlProps/ctrlProp11.xml><?xml version="1.0" encoding="utf-8"?>
<formControlPr xmlns="http://schemas.microsoft.com/office/spreadsheetml/2009/9/main" objectType="CheckBox" fmlaLink="$C$218" lockText="1" noThreeD="1"/>
</file>

<file path=xl/ctrlProps/ctrlProp12.xml><?xml version="1.0" encoding="utf-8"?>
<formControlPr xmlns="http://schemas.microsoft.com/office/spreadsheetml/2009/9/main" objectType="List" dx="16" fmlaLink="$C$244" fmlaRange="$C$237:$C$238" noThreeD="1" val="0"/>
</file>

<file path=xl/ctrlProps/ctrlProp13.xml><?xml version="1.0" encoding="utf-8"?>
<formControlPr xmlns="http://schemas.microsoft.com/office/spreadsheetml/2009/9/main" objectType="List" dx="16" fmlaLink="$C$178" fmlaRange="$B$176:$B$177" noThreeD="1" val="0"/>
</file>

<file path=xl/ctrlProps/ctrlProp14.xml><?xml version="1.0" encoding="utf-8"?>
<formControlPr xmlns="http://schemas.microsoft.com/office/spreadsheetml/2009/9/main" objectType="List" dx="16" fmlaLink="$E$279" fmlaRange="$C$279:$C$282" noThreeD="1" val="0"/>
</file>

<file path=xl/ctrlProps/ctrlProp15.xml><?xml version="1.0" encoding="utf-8"?>
<formControlPr xmlns="http://schemas.microsoft.com/office/spreadsheetml/2009/9/main" objectType="List" dx="16" fmlaLink="$B$84" fmlaRange="$C$72:$C$74" noThreeD="1" val="0"/>
</file>

<file path=xl/ctrlProps/ctrlProp16.xml><?xml version="1.0" encoding="utf-8"?>
<formControlPr xmlns="http://schemas.microsoft.com/office/spreadsheetml/2009/9/main" objectType="List" dx="16" fmlaLink="$D$75" fmlaRange="$D$72:$D$74" noThreeD="1" val="0"/>
</file>

<file path=xl/ctrlProps/ctrlProp17.xml><?xml version="1.0" encoding="utf-8"?>
<formControlPr xmlns="http://schemas.microsoft.com/office/spreadsheetml/2009/9/main" objectType="List" dx="16" fmlaLink="$F$83" fmlaRange="$F$72:$F$82" noThreeD="1" sel="5" val="0"/>
</file>

<file path=xl/ctrlProps/ctrlProp18.xml><?xml version="1.0" encoding="utf-8"?>
<formControlPr xmlns="http://schemas.microsoft.com/office/spreadsheetml/2009/9/main" objectType="Drop" dropStyle="combo" dx="16" fmlaLink="$C$401" fmlaRange="$C$388:$C$400" noThreeD="1" val="0"/>
</file>

<file path=xl/ctrlProps/ctrlProp19.xml><?xml version="1.0" encoding="utf-8"?>
<formControlPr xmlns="http://schemas.microsoft.com/office/spreadsheetml/2009/9/main" objectType="Drop" dropStyle="combo" dx="16" fmlaLink="$D$82" fmlaRange="$D$77:$D$81" noThreeD="1" sel="3" val="0"/>
</file>

<file path=xl/ctrlProps/ctrlProp2.xml><?xml version="1.0" encoding="utf-8"?>
<formControlPr xmlns="http://schemas.microsoft.com/office/spreadsheetml/2009/9/main" objectType="List" dx="16" fmlaLink="$C$140" fmlaRange="$B$138:$B$139" noThreeD="1" val="0"/>
</file>

<file path=xl/ctrlProps/ctrlProp20.xml><?xml version="1.0" encoding="utf-8"?>
<formControlPr xmlns="http://schemas.microsoft.com/office/spreadsheetml/2009/9/main" objectType="List" dx="16" fmlaLink="$B$84" fmlaRange="$C$72:$C$74" noThreeD="1" val="0"/>
</file>

<file path=xl/ctrlProps/ctrlProp21.xml><?xml version="1.0" encoding="utf-8"?>
<formControlPr xmlns="http://schemas.microsoft.com/office/spreadsheetml/2009/9/main" objectType="Drop" dropStyle="combo" dx="16" fmlaLink="$L$173" fmlaRange="$L$168:$L$172" noThreeD="1" sel="5" val="0"/>
</file>

<file path=xl/ctrlProps/ctrlProp22.xml><?xml version="1.0" encoding="utf-8"?>
<formControlPr xmlns="http://schemas.microsoft.com/office/spreadsheetml/2009/9/main" objectType="List" dx="16" fmlaLink="SAP!$A$7" fmlaRange="SAP!$A$3:$A$6" noThreeD="1" val="0"/>
</file>

<file path=xl/ctrlProps/ctrlProp23.xml><?xml version="1.0" encoding="utf-8"?>
<formControlPr xmlns="http://schemas.microsoft.com/office/spreadsheetml/2009/9/main" objectType="CheckBox" fmlaLink="$C$403" lockText="1" noThreeD="1"/>
</file>

<file path=xl/ctrlProps/ctrlProp24.xml><?xml version="1.0" encoding="utf-8"?>
<formControlPr xmlns="http://schemas.microsoft.com/office/spreadsheetml/2009/9/main" objectType="List" dx="16" fmlaLink="$C$210" fmlaRange="$C$203:$C$204" noThreeD="1" val="0"/>
</file>

<file path=xl/ctrlProps/ctrlProp25.xml><?xml version="1.0" encoding="utf-8"?>
<formControlPr xmlns="http://schemas.microsoft.com/office/spreadsheetml/2009/9/main" objectType="List" dx="16" fmlaLink="$C$147" fmlaRange="$B$145:$B$146" noThreeD="1" val="0"/>
</file>

<file path=xl/ctrlProps/ctrlProp26.xml><?xml version="1.0" encoding="utf-8"?>
<formControlPr xmlns="http://schemas.microsoft.com/office/spreadsheetml/2009/9/main" objectType="List" dx="16" fmlaLink="$E$248" fmlaRange="$C$248:$C$251" noThreeD="1" val="0"/>
</file>

<file path=xl/ctrlProps/ctrlProp27.xml><?xml version="1.0" encoding="utf-8"?>
<formControlPr xmlns="http://schemas.microsoft.com/office/spreadsheetml/2009/9/main" objectType="List" dx="16" fmlaLink="$B$92" fmlaRange="$C$80:$C$82" noThreeD="1" val="0"/>
</file>

<file path=xl/ctrlProps/ctrlProp28.xml><?xml version="1.0" encoding="utf-8"?>
<formControlPr xmlns="http://schemas.microsoft.com/office/spreadsheetml/2009/9/main" objectType="List" dx="16" fmlaLink="$D$84" fmlaRange="$D$82" noThreeD="1" val="0"/>
</file>

<file path=xl/ctrlProps/ctrlProp29.xml><?xml version="1.0" encoding="utf-8"?>
<formControlPr xmlns="http://schemas.microsoft.com/office/spreadsheetml/2009/9/main" objectType="List" dx="16" fmlaLink="$F$91" fmlaRange="$F$80:$F$90" noThreeD="1" val="0"/>
</file>

<file path=xl/ctrlProps/ctrlProp3.xml><?xml version="1.0" encoding="utf-8"?>
<formControlPr xmlns="http://schemas.microsoft.com/office/spreadsheetml/2009/9/main" objectType="List" dx="16" fmlaLink="$E$243" fmlaRange="$C$243:$C$246" noThreeD="1" val="0"/>
</file>

<file path=xl/ctrlProps/ctrlProp30.xml><?xml version="1.0" encoding="utf-8"?>
<formControlPr xmlns="http://schemas.microsoft.com/office/spreadsheetml/2009/9/main" objectType="Drop" dropStyle="combo" dx="16" fmlaLink="$C$379" fmlaRange="$C$366:$C$378" noThreeD="1" val="0"/>
</file>

<file path=xl/ctrlProps/ctrlProp31.xml><?xml version="1.0" encoding="utf-8"?>
<formControlPr xmlns="http://schemas.microsoft.com/office/spreadsheetml/2009/9/main" objectType="List" dx="16" fmlaLink="SAP!$A$7" fmlaRange="SAP!$A$3:$A$6" noThreeD="1" val="0"/>
</file>

<file path=xl/ctrlProps/ctrlProp32.xml><?xml version="1.0" encoding="utf-8"?>
<formControlPr xmlns="http://schemas.microsoft.com/office/spreadsheetml/2009/9/main" objectType="CheckBox" fmlaLink="$C$388" lockText="1" noThreeD="1"/>
</file>

<file path=xl/ctrlProps/ctrlProp33.xml><?xml version="1.0" encoding="utf-8"?>
<formControlPr xmlns="http://schemas.microsoft.com/office/spreadsheetml/2009/9/main" objectType="CheckBox" fmlaLink="$C$389" noThreeD="1"/>
</file>

<file path=xl/ctrlProps/ctrlProp34.xml><?xml version="1.0" encoding="utf-8"?>
<formControlPr xmlns="http://schemas.microsoft.com/office/spreadsheetml/2009/9/main" objectType="List" dx="16" fmlaLink="$E$289" fmlaRange="$C$289:$C$292" noThreeD="1" val="0"/>
</file>

<file path=xl/ctrlProps/ctrlProp35.xml><?xml version="1.0" encoding="utf-8"?>
<formControlPr xmlns="http://schemas.microsoft.com/office/spreadsheetml/2009/9/main" objectType="List" dx="16" fmlaLink="$B$103" fmlaRange="$C$91:$C$93" noThreeD="1" val="0"/>
</file>

<file path=xl/ctrlProps/ctrlProp36.xml><?xml version="1.0" encoding="utf-8"?>
<formControlPr xmlns="http://schemas.microsoft.com/office/spreadsheetml/2009/9/main" objectType="List" dx="16" fmlaLink="$D$95" fmlaRange="$D$91:$D$94" noThreeD="1" val="0"/>
</file>

<file path=xl/ctrlProps/ctrlProp37.xml><?xml version="1.0" encoding="utf-8"?>
<formControlPr xmlns="http://schemas.microsoft.com/office/spreadsheetml/2009/9/main" objectType="List" dx="16" fmlaLink="$F$102" fmlaRange="$F$91:$F$101" noThreeD="1" val="0"/>
</file>

<file path=xl/ctrlProps/ctrlProp38.xml><?xml version="1.0" encoding="utf-8"?>
<formControlPr xmlns="http://schemas.microsoft.com/office/spreadsheetml/2009/9/main" objectType="Drop" dropStyle="combo" dx="16" fmlaLink="$C$428" fmlaRange="$C$415:$C$427" noThreeD="1" sel="2" val="0"/>
</file>

<file path=xl/ctrlProps/ctrlProp39.xml><?xml version="1.0" encoding="utf-8"?>
<formControlPr xmlns="http://schemas.microsoft.com/office/spreadsheetml/2009/9/main" objectType="List" dx="16" fmlaLink="$C$166" fmlaRange="$B$165:$B$166" noThreeD="1" val="0"/>
</file>

<file path=xl/ctrlProps/ctrlProp4.xml><?xml version="1.0" encoding="utf-8"?>
<formControlPr xmlns="http://schemas.microsoft.com/office/spreadsheetml/2009/9/main" objectType="List" dx="16" fmlaLink="$B$89" fmlaRange="$C$77:$C$79" noThreeD="1" val="0"/>
</file>

<file path=xl/ctrlProps/ctrlProp40.xml><?xml version="1.0" encoding="utf-8"?>
<formControlPr xmlns="http://schemas.microsoft.com/office/spreadsheetml/2009/9/main" objectType="List" dx="16" fmlaLink="$J$95" fmlaRange="$J$91:$J$93" noThreeD="1" val="0"/>
</file>

<file path=xl/ctrlProps/ctrlProp41.xml><?xml version="1.0" encoding="utf-8"?>
<formControlPr xmlns="http://schemas.microsoft.com/office/spreadsheetml/2009/9/main" objectType="Drop" dropStyle="combo" dx="16" fmlaLink="$C$429" fmlaRange="$C$415:$C$427" noThreeD="1" val="0"/>
</file>

<file path=xl/ctrlProps/ctrlProp42.xml><?xml version="1.0" encoding="utf-8"?>
<formControlPr xmlns="http://schemas.microsoft.com/office/spreadsheetml/2009/9/main" objectType="List" dx="16" fmlaLink="SAP!$A$7" fmlaRange="SAP!$A$3:$A$6" noThreeD="1" val="0"/>
</file>

<file path=xl/ctrlProps/ctrlProp43.xml><?xml version="1.0" encoding="utf-8"?>
<formControlPr xmlns="http://schemas.microsoft.com/office/spreadsheetml/2009/9/main" objectType="CheckBox" fmlaLink="$C$431" lockText="1" noThreeD="1"/>
</file>

<file path=xl/ctrlProps/ctrlProp44.xml><?xml version="1.0" encoding="utf-8"?>
<formControlPr xmlns="http://schemas.microsoft.com/office/spreadsheetml/2009/9/main" objectType="List" dx="16" fmlaLink="$E$298" fmlaRange="$C$298:$C$299" noThreeD="1" val="0"/>
</file>

<file path=xl/ctrlProps/ctrlProp45.xml><?xml version="1.0" encoding="utf-8"?>
<formControlPr xmlns="http://schemas.microsoft.com/office/spreadsheetml/2009/9/main" objectType="List" dx="16" fmlaLink="$E$303" fmlaRange="$C$301:$C$304" noThreeD="1" val="0"/>
</file>

<file path=xl/ctrlProps/ctrlProp46.xml><?xml version="1.0" encoding="utf-8"?>
<formControlPr xmlns="http://schemas.microsoft.com/office/spreadsheetml/2009/9/main" objectType="CheckBox" fmlaLink="$C$432" noThreeD="1"/>
</file>

<file path=xl/ctrlProps/ctrlProp47.xml><?xml version="1.0" encoding="utf-8"?>
<formControlPr xmlns="http://schemas.microsoft.com/office/spreadsheetml/2009/9/main" objectType="CheckBox" fmlaLink="$C$264" lockText="1" noThreeD="1"/>
</file>

<file path=xl/ctrlProps/ctrlProp48.xml><?xml version="1.0" encoding="utf-8"?>
<formControlPr xmlns="http://schemas.microsoft.com/office/spreadsheetml/2009/9/main" objectType="List" dx="16" fmlaLink="$E$295" fmlaRange="$C$295:$C$298" noThreeD="1" sel="3" val="0"/>
</file>

<file path=xl/ctrlProps/ctrlProp49.xml><?xml version="1.0" encoding="utf-8"?>
<formControlPr xmlns="http://schemas.microsoft.com/office/spreadsheetml/2009/9/main" objectType="List" dx="16" fmlaLink="$B$90" fmlaRange="$C$78:$C$80" noThreeD="1" sel="2" val="0"/>
</file>

<file path=xl/ctrlProps/ctrlProp5.xml><?xml version="1.0" encoding="utf-8"?>
<formControlPr xmlns="http://schemas.microsoft.com/office/spreadsheetml/2009/9/main" objectType="List" dx="16" fmlaLink="$D$81" fmlaRange="$D$77:$D$80" noThreeD="1" val="0"/>
</file>

<file path=xl/ctrlProps/ctrlProp50.xml><?xml version="1.0" encoding="utf-8"?>
<formControlPr xmlns="http://schemas.microsoft.com/office/spreadsheetml/2009/9/main" objectType="List" dx="16" fmlaLink="$D$81" fmlaRange="$D$78:$D$80" noThreeD="1" val="0"/>
</file>

<file path=xl/ctrlProps/ctrlProp51.xml><?xml version="1.0" encoding="utf-8"?>
<formControlPr xmlns="http://schemas.microsoft.com/office/spreadsheetml/2009/9/main" objectType="List" dx="16" fmlaLink="$F$89" fmlaRange="$F$78:$F$88" noThreeD="1" val="0"/>
</file>

<file path=xl/ctrlProps/ctrlProp52.xml><?xml version="1.0" encoding="utf-8"?>
<formControlPr xmlns="http://schemas.microsoft.com/office/spreadsheetml/2009/9/main" objectType="Drop" dropStyle="combo" dx="16" fmlaLink="$C$425" fmlaRange="$C$412:$C$424" noThreeD="1" val="0"/>
</file>

<file path=xl/ctrlProps/ctrlProp53.xml><?xml version="1.0" encoding="utf-8"?>
<formControlPr xmlns="http://schemas.microsoft.com/office/spreadsheetml/2009/9/main" objectType="Drop" dropStyle="combo" dx="16" fmlaLink="$D$88" fmlaRange="$D$83:$D$87" noThreeD="1" sel="3" val="0"/>
</file>

<file path=xl/ctrlProps/ctrlProp54.xml><?xml version="1.0" encoding="utf-8"?>
<formControlPr xmlns="http://schemas.microsoft.com/office/spreadsheetml/2009/9/main" objectType="List" dx="16" fmlaLink="$C$194" fmlaRange="$B$193:$B$194" noThreeD="1" val="0"/>
</file>

<file path=xl/ctrlProps/ctrlProp55.xml><?xml version="1.0" encoding="utf-8"?>
<formControlPr xmlns="http://schemas.microsoft.com/office/spreadsheetml/2009/9/main" objectType="List" dx="16" fmlaLink="$J$81" fmlaRange="$J$78:$J$79" noThreeD="1" val="0"/>
</file>

<file path=xl/ctrlProps/ctrlProp56.xml><?xml version="1.0" encoding="utf-8"?>
<formControlPr xmlns="http://schemas.microsoft.com/office/spreadsheetml/2009/9/main" objectType="Drop" dropStyle="combo" dx="16" fmlaLink="$C$426" fmlaRange="$C$412:$C$424" noThreeD="1" val="0"/>
</file>

<file path=xl/ctrlProps/ctrlProp57.xml><?xml version="1.0" encoding="utf-8"?>
<formControlPr xmlns="http://schemas.microsoft.com/office/spreadsheetml/2009/9/main" objectType="Drop" dropStyle="combo" dx="16" fmlaLink="$J$88" fmlaRange="$J$83:$J$85" noThreeD="1" sel="3" val="0"/>
</file>

<file path=xl/ctrlProps/ctrlProp58.xml><?xml version="1.0" encoding="utf-8"?>
<formControlPr xmlns="http://schemas.microsoft.com/office/spreadsheetml/2009/9/main" objectType="Drop" dropStyle="combo" dx="16" fmlaLink="$O$199" fmlaRange="$O$194:$O$198" noThreeD="1" sel="5" val="0"/>
</file>

<file path=xl/ctrlProps/ctrlProp59.xml><?xml version="1.0" encoding="utf-8"?>
<formControlPr xmlns="http://schemas.microsoft.com/office/spreadsheetml/2009/9/main" objectType="Drop" dropStyle="combo" dx="16" fmlaLink="$P$199" fmlaRange="$P$194:$P$198" noThreeD="1" sel="5" val="0"/>
</file>

<file path=xl/ctrlProps/ctrlProp6.xml><?xml version="1.0" encoding="utf-8"?>
<formControlPr xmlns="http://schemas.microsoft.com/office/spreadsheetml/2009/9/main" objectType="List" dx="16" fmlaLink="$F$88" fmlaRange="$F$77:$F$87" noThreeD="1" val="0"/>
</file>

<file path=xl/ctrlProps/ctrlProp60.xml><?xml version="1.0" encoding="utf-8"?>
<formControlPr xmlns="http://schemas.microsoft.com/office/spreadsheetml/2009/9/main" objectType="List" dx="16" fmlaLink="SAP!$A$7" fmlaRange="SAP!$A$3:$A$6" noThreeD="1" val="0"/>
</file>

<file path=xl/ctrlProps/ctrlProp61.xml><?xml version="1.0" encoding="utf-8"?>
<formControlPr xmlns="http://schemas.microsoft.com/office/spreadsheetml/2009/9/main" objectType="CheckBox" fmlaLink="$C$428" lockText="1" noThreeD="1"/>
</file>

<file path=xl/ctrlProps/ctrlProp62.xml><?xml version="1.0" encoding="utf-8"?>
<formControlPr xmlns="http://schemas.microsoft.com/office/spreadsheetml/2009/9/main" objectType="List" dx="16" fmlaLink="SAP!$A$7" fmlaRange="SAP!$A$3:$A$5" noThreeD="1" val="0"/>
</file>

<file path=xl/ctrlProps/ctrlProp63.xml><?xml version="1.0" encoding="utf-8"?>
<formControlPr xmlns="http://schemas.microsoft.com/office/spreadsheetml/2009/9/main" objectType="List" dx="16" fmlaLink="SAP!$A$7" fmlaRange="SAP!$A$3:$A$5" noThreeD="1" val="0"/>
</file>

<file path=xl/ctrlProps/ctrlProp64.xml><?xml version="1.0" encoding="utf-8"?>
<formControlPr xmlns="http://schemas.microsoft.com/office/spreadsheetml/2009/9/main" objectType="List" dx="16" fmlaLink="SAP!$A$7" fmlaRange="SAP!$A$3:$A$6" noThreeD="1" val="0"/>
</file>

<file path=xl/ctrlProps/ctrlProp7.xml><?xml version="1.0" encoding="utf-8"?>
<formControlPr xmlns="http://schemas.microsoft.com/office/spreadsheetml/2009/9/main" objectType="Drop" dropStyle="combo" dx="16" fmlaLink="$C$362" fmlaRange="$C$349:$C$361" noThreeD="1" sel="2" val="0"/>
</file>

<file path=xl/ctrlProps/ctrlProp8.xml><?xml version="1.0" encoding="utf-8"?>
<formControlPr xmlns="http://schemas.microsoft.com/office/spreadsheetml/2009/9/main" objectType="List" dx="16" fmlaLink="SAP!$A$7" fmlaRange="SAP!$A$3:$A$6" noThreeD="1" val="0"/>
</file>

<file path=xl/ctrlProps/ctrlProp9.xml><?xml version="1.0" encoding="utf-8"?>
<formControlPr xmlns="http://schemas.microsoft.com/office/spreadsheetml/2009/9/main" objectType="CheckBox" fmlaLink="$C$37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20</xdr:row>
          <xdr:rowOff>19050</xdr:rowOff>
        </xdr:from>
        <xdr:to>
          <xdr:col>1</xdr:col>
          <xdr:colOff>266700</xdr:colOff>
          <xdr:row>21</xdr:row>
          <xdr:rowOff>152400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</xdr:col>
          <xdr:colOff>1428750</xdr:colOff>
          <xdr:row>24</xdr:row>
          <xdr:rowOff>152400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19050</xdr:rowOff>
        </xdr:from>
        <xdr:to>
          <xdr:col>3</xdr:col>
          <xdr:colOff>533400</xdr:colOff>
          <xdr:row>22</xdr:row>
          <xdr:rowOff>180975</xdr:rowOff>
        </xdr:to>
        <xdr:sp macro="" textlink="">
          <xdr:nvSpPr>
            <xdr:cNvPr id="1029" name="List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3438525</xdr:colOff>
          <xdr:row>4</xdr:row>
          <xdr:rowOff>0</xdr:rowOff>
        </xdr:from>
        <xdr:to>
          <xdr:col>2</xdr:col>
          <xdr:colOff>847725</xdr:colOff>
          <xdr:row>8</xdr:row>
          <xdr:rowOff>0</xdr:rowOff>
        </xdr:to>
        <xdr:sp macro="" textlink="">
          <xdr:nvSpPr>
            <xdr:cNvPr id="1032" name="List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8093" y="59533"/>
          <a:ext cx="705737" cy="6905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35718</xdr:rowOff>
    </xdr:from>
    <xdr:to>
      <xdr:col>12</xdr:col>
      <xdr:colOff>261937</xdr:colOff>
      <xdr:row>18</xdr:row>
      <xdr:rowOff>241852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5679" y="35718"/>
          <a:ext cx="5759222" cy="473861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23</xdr:row>
      <xdr:rowOff>32267</xdr:rowOff>
    </xdr:from>
    <xdr:to>
      <xdr:col>20</xdr:col>
      <xdr:colOff>311325</xdr:colOff>
      <xdr:row>46</xdr:row>
      <xdr:rowOff>123878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28714" y="4781160"/>
          <a:ext cx="4978575" cy="46843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26</xdr:row>
          <xdr:rowOff>200025</xdr:rowOff>
        </xdr:from>
        <xdr:to>
          <xdr:col>1</xdr:col>
          <xdr:colOff>466725</xdr:colOff>
          <xdr:row>29</xdr:row>
          <xdr:rowOff>180975</xdr:rowOff>
        </xdr:to>
        <xdr:sp macro="" textlink="">
          <xdr:nvSpPr>
            <xdr:cNvPr id="1033" name="List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533400</xdr:colOff>
          <xdr:row>33</xdr:row>
          <xdr:rowOff>171450</xdr:rowOff>
        </xdr:to>
        <xdr:sp macro="" textlink="">
          <xdr:nvSpPr>
            <xdr:cNvPr id="1034" name="List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33</xdr:row>
          <xdr:rowOff>9525</xdr:rowOff>
        </xdr:from>
        <xdr:to>
          <xdr:col>1</xdr:col>
          <xdr:colOff>257175</xdr:colOff>
          <xdr:row>34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670153</xdr:colOff>
      <xdr:row>0</xdr:row>
      <xdr:rowOff>8506</xdr:rowOff>
    </xdr:from>
    <xdr:to>
      <xdr:col>8</xdr:col>
      <xdr:colOff>3402</xdr:colOff>
      <xdr:row>7</xdr:row>
      <xdr:rowOff>62934</xdr:rowOff>
    </xdr:to>
    <xdr:sp macro="" textlink="">
      <xdr:nvSpPr>
        <xdr:cNvPr id="3" name="Prostokąt zaokrąglony 2"/>
        <xdr:cNvSpPr/>
      </xdr:nvSpPr>
      <xdr:spPr>
        <a:xfrm>
          <a:off x="8028216" y="8506"/>
          <a:ext cx="1726405" cy="1614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12</xdr:col>
      <xdr:colOff>409575</xdr:colOff>
      <xdr:row>1</xdr:row>
      <xdr:rowOff>17486</xdr:rowOff>
    </xdr:from>
    <xdr:to>
      <xdr:col>20</xdr:col>
      <xdr:colOff>323850</xdr:colOff>
      <xdr:row>18</xdr:row>
      <xdr:rowOff>164158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207986"/>
          <a:ext cx="4848225" cy="448729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57150</xdr:rowOff>
        </xdr:from>
        <xdr:to>
          <xdr:col>3</xdr:col>
          <xdr:colOff>866775</xdr:colOff>
          <xdr:row>3</xdr:row>
          <xdr:rowOff>38100</xdr:rowOff>
        </xdr:to>
        <xdr:sp macro="" textlink="">
          <xdr:nvSpPr>
            <xdr:cNvPr id="1038" name="List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35</xdr:row>
          <xdr:rowOff>0</xdr:rowOff>
        </xdr:from>
        <xdr:to>
          <xdr:col>1</xdr:col>
          <xdr:colOff>2600325</xdr:colOff>
          <xdr:row>35</xdr:row>
          <xdr:rowOff>190500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nakładek montażowych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37</xdr:row>
          <xdr:rowOff>9525</xdr:rowOff>
        </xdr:from>
        <xdr:to>
          <xdr:col>1</xdr:col>
          <xdr:colOff>2505075</xdr:colOff>
          <xdr:row>38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szczotek wózka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36</xdr:row>
          <xdr:rowOff>19050</xdr:rowOff>
        </xdr:from>
        <xdr:to>
          <xdr:col>2</xdr:col>
          <xdr:colOff>771525</xdr:colOff>
          <xdr:row>36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dodatkowych zamknięć środkowych MV130 na plecach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19</xdr:row>
          <xdr:rowOff>19050</xdr:rowOff>
        </xdr:from>
        <xdr:to>
          <xdr:col>1</xdr:col>
          <xdr:colOff>733425</xdr:colOff>
          <xdr:row>20</xdr:row>
          <xdr:rowOff>152400</xdr:rowOff>
        </xdr:to>
        <xdr:sp macro="" textlink="">
          <xdr:nvSpPr>
            <xdr:cNvPr id="3081" name="List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1</xdr:col>
          <xdr:colOff>1895475</xdr:colOff>
          <xdr:row>23</xdr:row>
          <xdr:rowOff>142875</xdr:rowOff>
        </xdr:to>
        <xdr:sp macro="" textlink="">
          <xdr:nvSpPr>
            <xdr:cNvPr id="3082" name="List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2809875</xdr:colOff>
          <xdr:row>19</xdr:row>
          <xdr:rowOff>19050</xdr:rowOff>
        </xdr:from>
        <xdr:to>
          <xdr:col>2</xdr:col>
          <xdr:colOff>847725</xdr:colOff>
          <xdr:row>21</xdr:row>
          <xdr:rowOff>200025</xdr:rowOff>
        </xdr:to>
        <xdr:sp macro="" textlink="">
          <xdr:nvSpPr>
            <xdr:cNvPr id="3083" name="List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3438525</xdr:colOff>
          <xdr:row>4</xdr:row>
          <xdr:rowOff>0</xdr:rowOff>
        </xdr:from>
        <xdr:to>
          <xdr:col>2</xdr:col>
          <xdr:colOff>847725</xdr:colOff>
          <xdr:row>8</xdr:row>
          <xdr:rowOff>0</xdr:rowOff>
        </xdr:to>
        <xdr:sp macro="" textlink="">
          <xdr:nvSpPr>
            <xdr:cNvPr id="3084" name="List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3955" y="59533"/>
          <a:ext cx="705737" cy="6857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35718</xdr:rowOff>
    </xdr:from>
    <xdr:to>
      <xdr:col>12</xdr:col>
      <xdr:colOff>261936</xdr:colOff>
      <xdr:row>18</xdr:row>
      <xdr:rowOff>187924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35718"/>
          <a:ext cx="5757862" cy="46733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25</xdr:row>
          <xdr:rowOff>200025</xdr:rowOff>
        </xdr:from>
        <xdr:to>
          <xdr:col>1</xdr:col>
          <xdr:colOff>733425</xdr:colOff>
          <xdr:row>28</xdr:row>
          <xdr:rowOff>180975</xdr:rowOff>
        </xdr:to>
        <xdr:sp macro="" textlink="">
          <xdr:nvSpPr>
            <xdr:cNvPr id="3085" name="List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2800350</xdr:colOff>
          <xdr:row>26</xdr:row>
          <xdr:rowOff>0</xdr:rowOff>
        </xdr:from>
        <xdr:to>
          <xdr:col>2</xdr:col>
          <xdr:colOff>828675</xdr:colOff>
          <xdr:row>32</xdr:row>
          <xdr:rowOff>161925</xdr:rowOff>
        </xdr:to>
        <xdr:sp macro="" textlink="">
          <xdr:nvSpPr>
            <xdr:cNvPr id="3086" name="List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32</xdr:row>
          <xdr:rowOff>9525</xdr:rowOff>
        </xdr:from>
        <xdr:to>
          <xdr:col>1</xdr:col>
          <xdr:colOff>723900</xdr:colOff>
          <xdr:row>32</xdr:row>
          <xdr:rowOff>219075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29</xdr:row>
          <xdr:rowOff>200025</xdr:rowOff>
        </xdr:from>
        <xdr:to>
          <xdr:col>1</xdr:col>
          <xdr:colOff>714375</xdr:colOff>
          <xdr:row>31</xdr:row>
          <xdr:rowOff>19050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501862</xdr:colOff>
      <xdr:row>0</xdr:row>
      <xdr:rowOff>81642</xdr:rowOff>
    </xdr:from>
    <xdr:to>
      <xdr:col>11</xdr:col>
      <xdr:colOff>393005</xdr:colOff>
      <xdr:row>6</xdr:row>
      <xdr:rowOff>136070</xdr:rowOff>
    </xdr:to>
    <xdr:sp macro="" textlink="">
      <xdr:nvSpPr>
        <xdr:cNvPr id="24" name="Prostokąt zaokrąglony 23"/>
        <xdr:cNvSpPr/>
      </xdr:nvSpPr>
      <xdr:spPr>
        <a:xfrm>
          <a:off x="9825156" y="81642"/>
          <a:ext cx="1706496" cy="142154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3438525</xdr:colOff>
          <xdr:row>4</xdr:row>
          <xdr:rowOff>0</xdr:rowOff>
        </xdr:from>
        <xdr:to>
          <xdr:col>2</xdr:col>
          <xdr:colOff>847725</xdr:colOff>
          <xdr:row>8</xdr:row>
          <xdr:rowOff>0</xdr:rowOff>
        </xdr:to>
        <xdr:sp macro="" textlink="">
          <xdr:nvSpPr>
            <xdr:cNvPr id="3089" name="List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3495675</xdr:colOff>
          <xdr:row>23</xdr:row>
          <xdr:rowOff>114300</xdr:rowOff>
        </xdr:from>
        <xdr:to>
          <xdr:col>2</xdr:col>
          <xdr:colOff>857250</xdr:colOff>
          <xdr:row>24</xdr:row>
          <xdr:rowOff>142875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12</xdr:col>
      <xdr:colOff>244926</xdr:colOff>
      <xdr:row>22</xdr:row>
      <xdr:rowOff>14781</xdr:rowOff>
    </xdr:from>
    <xdr:to>
      <xdr:col>20</xdr:col>
      <xdr:colOff>270501</xdr:colOff>
      <xdr:row>45</xdr:row>
      <xdr:rowOff>86281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7890" y="4763674"/>
          <a:ext cx="4978575" cy="4684322"/>
        </a:xfrm>
        <a:prstGeom prst="rect">
          <a:avLst/>
        </a:prstGeom>
      </xdr:spPr>
    </xdr:pic>
    <xdr:clientData/>
  </xdr:twoCellAnchor>
  <xdr:twoCellAnchor editAs="oneCell">
    <xdr:from>
      <xdr:col>12</xdr:col>
      <xdr:colOff>368751</xdr:colOff>
      <xdr:row>1</xdr:row>
      <xdr:rowOff>0</xdr:rowOff>
    </xdr:from>
    <xdr:to>
      <xdr:col>20</xdr:col>
      <xdr:colOff>283026</xdr:colOff>
      <xdr:row>18</xdr:row>
      <xdr:rowOff>92744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1715" y="190500"/>
          <a:ext cx="4867275" cy="44886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</xdr:row>
          <xdr:rowOff>57150</xdr:rowOff>
        </xdr:from>
        <xdr:to>
          <xdr:col>3</xdr:col>
          <xdr:colOff>714375</xdr:colOff>
          <xdr:row>3</xdr:row>
          <xdr:rowOff>9525</xdr:rowOff>
        </xdr:to>
        <xdr:sp macro="" textlink="">
          <xdr:nvSpPr>
            <xdr:cNvPr id="3093" name="List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714375</xdr:colOff>
          <xdr:row>34</xdr:row>
          <xdr:rowOff>9525</xdr:rowOff>
        </xdr:from>
        <xdr:to>
          <xdr:col>1</xdr:col>
          <xdr:colOff>2371725</xdr:colOff>
          <xdr:row>35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nakładek montażowych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20</xdr:row>
          <xdr:rowOff>19050</xdr:rowOff>
        </xdr:from>
        <xdr:to>
          <xdr:col>1</xdr:col>
          <xdr:colOff>266700</xdr:colOff>
          <xdr:row>21</xdr:row>
          <xdr:rowOff>152400</xdr:rowOff>
        </xdr:to>
        <xdr:sp macro="" textlink="">
          <xdr:nvSpPr>
            <xdr:cNvPr id="11265" name="List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</xdr:col>
          <xdr:colOff>1428750</xdr:colOff>
          <xdr:row>24</xdr:row>
          <xdr:rowOff>152400</xdr:rowOff>
        </xdr:to>
        <xdr:sp macro="" textlink="">
          <xdr:nvSpPr>
            <xdr:cNvPr id="11266" name="List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19050</xdr:rowOff>
        </xdr:from>
        <xdr:to>
          <xdr:col>3</xdr:col>
          <xdr:colOff>533400</xdr:colOff>
          <xdr:row>22</xdr:row>
          <xdr:rowOff>180975</xdr:rowOff>
        </xdr:to>
        <xdr:sp macro="" textlink="">
          <xdr:nvSpPr>
            <xdr:cNvPr id="11267" name="List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3438525</xdr:colOff>
          <xdr:row>4</xdr:row>
          <xdr:rowOff>0</xdr:rowOff>
        </xdr:from>
        <xdr:to>
          <xdr:col>2</xdr:col>
          <xdr:colOff>847725</xdr:colOff>
          <xdr:row>8</xdr:row>
          <xdr:rowOff>0</xdr:rowOff>
        </xdr:to>
        <xdr:sp macro="" textlink="">
          <xdr:nvSpPr>
            <xdr:cNvPr id="11268" name="List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9180" y="59533"/>
          <a:ext cx="705737" cy="6857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83342</xdr:rowOff>
    </xdr:from>
    <xdr:to>
      <xdr:col>12</xdr:col>
      <xdr:colOff>261937</xdr:colOff>
      <xdr:row>19</xdr:row>
      <xdr:rowOff>39445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3219" y="83342"/>
          <a:ext cx="5738812" cy="4242353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23</xdr:row>
      <xdr:rowOff>32267</xdr:rowOff>
    </xdr:from>
    <xdr:to>
      <xdr:col>20</xdr:col>
      <xdr:colOff>311325</xdr:colOff>
      <xdr:row>46</xdr:row>
      <xdr:rowOff>135785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6800" y="4890017"/>
          <a:ext cx="4959525" cy="46540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26</xdr:row>
          <xdr:rowOff>200025</xdr:rowOff>
        </xdr:from>
        <xdr:to>
          <xdr:col>1</xdr:col>
          <xdr:colOff>466725</xdr:colOff>
          <xdr:row>28</xdr:row>
          <xdr:rowOff>133350</xdr:rowOff>
        </xdr:to>
        <xdr:sp macro="" textlink="">
          <xdr:nvSpPr>
            <xdr:cNvPr id="11269" name="List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533400</xdr:colOff>
          <xdr:row>34</xdr:row>
          <xdr:rowOff>85725</xdr:rowOff>
        </xdr:to>
        <xdr:sp macro="" textlink="">
          <xdr:nvSpPr>
            <xdr:cNvPr id="11270" name="List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33</xdr:row>
          <xdr:rowOff>9525</xdr:rowOff>
        </xdr:from>
        <xdr:to>
          <xdr:col>1</xdr:col>
          <xdr:colOff>257175</xdr:colOff>
          <xdr:row>34</xdr:row>
          <xdr:rowOff>0</xdr:rowOff>
        </xdr:to>
        <xdr:sp macro="" textlink="">
          <xdr:nvSpPr>
            <xdr:cNvPr id="11271" name="Drop Dow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622529</xdr:colOff>
      <xdr:row>0</xdr:row>
      <xdr:rowOff>8506</xdr:rowOff>
    </xdr:from>
    <xdr:to>
      <xdr:col>7</xdr:col>
      <xdr:colOff>896372</xdr:colOff>
      <xdr:row>7</xdr:row>
      <xdr:rowOff>62934</xdr:rowOff>
    </xdr:to>
    <xdr:sp macro="" textlink="">
      <xdr:nvSpPr>
        <xdr:cNvPr id="12" name="Prostokąt zaokrąglony 11"/>
        <xdr:cNvSpPr/>
      </xdr:nvSpPr>
      <xdr:spPr>
        <a:xfrm>
          <a:off x="7980592" y="8506"/>
          <a:ext cx="1726405" cy="1614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12</xdr:col>
      <xdr:colOff>409575</xdr:colOff>
      <xdr:row>1</xdr:row>
      <xdr:rowOff>17486</xdr:rowOff>
    </xdr:from>
    <xdr:to>
      <xdr:col>20</xdr:col>
      <xdr:colOff>323850</xdr:colOff>
      <xdr:row>18</xdr:row>
      <xdr:rowOff>164158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0625" y="207986"/>
          <a:ext cx="4848225" cy="397334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57150</xdr:rowOff>
        </xdr:from>
        <xdr:to>
          <xdr:col>3</xdr:col>
          <xdr:colOff>866775</xdr:colOff>
          <xdr:row>3</xdr:row>
          <xdr:rowOff>38100</xdr:rowOff>
        </xdr:to>
        <xdr:sp macro="" textlink="">
          <xdr:nvSpPr>
            <xdr:cNvPr id="11272" name="List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35</xdr:row>
          <xdr:rowOff>0</xdr:rowOff>
        </xdr:from>
        <xdr:to>
          <xdr:col>1</xdr:col>
          <xdr:colOff>2600325</xdr:colOff>
          <xdr:row>35</xdr:row>
          <xdr:rowOff>190500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nakładek montażowych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36</xdr:row>
          <xdr:rowOff>9525</xdr:rowOff>
        </xdr:from>
        <xdr:to>
          <xdr:col>1</xdr:col>
          <xdr:colOff>2505075</xdr:colOff>
          <xdr:row>37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szczotek wózka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2809875</xdr:colOff>
          <xdr:row>21</xdr:row>
          <xdr:rowOff>19050</xdr:rowOff>
        </xdr:from>
        <xdr:to>
          <xdr:col>2</xdr:col>
          <xdr:colOff>847725</xdr:colOff>
          <xdr:row>24</xdr:row>
          <xdr:rowOff>9525</xdr:rowOff>
        </xdr:to>
        <xdr:sp macro="" textlink="">
          <xdr:nvSpPr>
            <xdr:cNvPr id="4099" name="List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3438525</xdr:colOff>
          <xdr:row>4</xdr:row>
          <xdr:rowOff>0</xdr:rowOff>
        </xdr:from>
        <xdr:to>
          <xdr:col>2</xdr:col>
          <xdr:colOff>847725</xdr:colOff>
          <xdr:row>8</xdr:row>
          <xdr:rowOff>0</xdr:rowOff>
        </xdr:to>
        <xdr:sp macro="" textlink="">
          <xdr:nvSpPr>
            <xdr:cNvPr id="4100" name="List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930" y="59533"/>
          <a:ext cx="705737" cy="6857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35718</xdr:rowOff>
    </xdr:from>
    <xdr:to>
      <xdr:col>11</xdr:col>
      <xdr:colOff>466044</xdr:colOff>
      <xdr:row>19</xdr:row>
      <xdr:rowOff>169826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5718"/>
          <a:ext cx="5757862" cy="468826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0</xdr:row>
      <xdr:rowOff>59531</xdr:rowOff>
    </xdr:from>
    <xdr:to>
      <xdr:col>20</xdr:col>
      <xdr:colOff>311325</xdr:colOff>
      <xdr:row>19</xdr:row>
      <xdr:rowOff>139347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20550" y="59531"/>
          <a:ext cx="4959525" cy="46339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29</xdr:row>
          <xdr:rowOff>200025</xdr:rowOff>
        </xdr:from>
        <xdr:to>
          <xdr:col>1</xdr:col>
          <xdr:colOff>428625</xdr:colOff>
          <xdr:row>32</xdr:row>
          <xdr:rowOff>171450</xdr:rowOff>
        </xdr:to>
        <xdr:sp macro="" textlink="">
          <xdr:nvSpPr>
            <xdr:cNvPr id="4101" name="List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1057275</xdr:colOff>
          <xdr:row>31</xdr:row>
          <xdr:rowOff>66675</xdr:rowOff>
        </xdr:from>
        <xdr:to>
          <xdr:col>1</xdr:col>
          <xdr:colOff>2600325</xdr:colOff>
          <xdr:row>38</xdr:row>
          <xdr:rowOff>47625</xdr:rowOff>
        </xdr:to>
        <xdr:sp macro="" textlink="">
          <xdr:nvSpPr>
            <xdr:cNvPr id="4102" name="List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35</xdr:row>
          <xdr:rowOff>9525</xdr:rowOff>
        </xdr:from>
        <xdr:to>
          <xdr:col>1</xdr:col>
          <xdr:colOff>200025</xdr:colOff>
          <xdr:row>36</xdr:row>
          <xdr:rowOff>28575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656546</xdr:colOff>
      <xdr:row>6</xdr:row>
      <xdr:rowOff>115651</xdr:rowOff>
    </xdr:from>
    <xdr:to>
      <xdr:col>7</xdr:col>
      <xdr:colOff>930389</xdr:colOff>
      <xdr:row>13</xdr:row>
      <xdr:rowOff>124834</xdr:rowOff>
    </xdr:to>
    <xdr:sp macro="" textlink="">
      <xdr:nvSpPr>
        <xdr:cNvPr id="13" name="Prostokąt zaokrąglony 12"/>
        <xdr:cNvSpPr/>
      </xdr:nvSpPr>
      <xdr:spPr>
        <a:xfrm>
          <a:off x="8062234" y="1484870"/>
          <a:ext cx="1726405" cy="15331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1</xdr:col>
          <xdr:colOff>1371600</xdr:colOff>
          <xdr:row>22</xdr:row>
          <xdr:rowOff>152400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2819400</xdr:colOff>
          <xdr:row>30</xdr:row>
          <xdr:rowOff>9525</xdr:rowOff>
        </xdr:from>
        <xdr:to>
          <xdr:col>3</xdr:col>
          <xdr:colOff>0</xdr:colOff>
          <xdr:row>31</xdr:row>
          <xdr:rowOff>180975</xdr:rowOff>
        </xdr:to>
        <xdr:sp macro="" textlink="">
          <xdr:nvSpPr>
            <xdr:cNvPr id="4110" name="List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2819400</xdr:colOff>
          <xdr:row>35</xdr:row>
          <xdr:rowOff>19050</xdr:rowOff>
        </xdr:from>
        <xdr:to>
          <xdr:col>2</xdr:col>
          <xdr:colOff>847725</xdr:colOff>
          <xdr:row>36</xdr:row>
          <xdr:rowOff>38100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12</xdr:col>
      <xdr:colOff>345621</xdr:colOff>
      <xdr:row>22</xdr:row>
      <xdr:rowOff>128740</xdr:rowOff>
    </xdr:from>
    <xdr:to>
      <xdr:col>20</xdr:col>
      <xdr:colOff>371196</xdr:colOff>
      <xdr:row>45</xdr:row>
      <xdr:rowOff>180529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8585" y="4714347"/>
          <a:ext cx="4978575" cy="4684322"/>
        </a:xfrm>
        <a:prstGeom prst="rect">
          <a:avLst/>
        </a:prstGeom>
      </xdr:spPr>
    </xdr:pic>
    <xdr:clientData/>
  </xdr:twoCellAnchor>
  <xdr:twoCellAnchor editAs="oneCell">
    <xdr:from>
      <xdr:col>12</xdr:col>
      <xdr:colOff>469446</xdr:colOff>
      <xdr:row>0</xdr:row>
      <xdr:rowOff>141173</xdr:rowOff>
    </xdr:from>
    <xdr:to>
      <xdr:col>20</xdr:col>
      <xdr:colOff>383721</xdr:colOff>
      <xdr:row>19</xdr:row>
      <xdr:rowOff>29100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12410" y="141173"/>
          <a:ext cx="4867275" cy="44886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</xdr:row>
          <xdr:rowOff>57150</xdr:rowOff>
        </xdr:from>
        <xdr:to>
          <xdr:col>3</xdr:col>
          <xdr:colOff>714375</xdr:colOff>
          <xdr:row>3</xdr:row>
          <xdr:rowOff>0</xdr:rowOff>
        </xdr:to>
        <xdr:sp macro="" textlink="">
          <xdr:nvSpPr>
            <xdr:cNvPr id="4113" name="List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39</xdr:row>
          <xdr:rowOff>0</xdr:rowOff>
        </xdr:from>
        <xdr:to>
          <xdr:col>1</xdr:col>
          <xdr:colOff>2295525</xdr:colOff>
          <xdr:row>39</xdr:row>
          <xdr:rowOff>200025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nakładek montażowych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25</xdr:row>
          <xdr:rowOff>76200</xdr:rowOff>
        </xdr:from>
        <xdr:to>
          <xdr:col>1</xdr:col>
          <xdr:colOff>200025</xdr:colOff>
          <xdr:row>26</xdr:row>
          <xdr:rowOff>190500</xdr:rowOff>
        </xdr:to>
        <xdr:sp macro="" textlink="">
          <xdr:nvSpPr>
            <xdr:cNvPr id="4115" name="List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2809875</xdr:colOff>
          <xdr:row>25</xdr:row>
          <xdr:rowOff>57150</xdr:rowOff>
        </xdr:from>
        <xdr:to>
          <xdr:col>2</xdr:col>
          <xdr:colOff>838200</xdr:colOff>
          <xdr:row>27</xdr:row>
          <xdr:rowOff>180975</xdr:rowOff>
        </xdr:to>
        <xdr:sp macro="" textlink="">
          <xdr:nvSpPr>
            <xdr:cNvPr id="4116" name="List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41</xdr:row>
          <xdr:rowOff>0</xdr:rowOff>
        </xdr:from>
        <xdr:to>
          <xdr:col>1</xdr:col>
          <xdr:colOff>2305050</xdr:colOff>
          <xdr:row>42</xdr:row>
          <xdr:rowOff>9525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szczotek wózka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40</xdr:row>
          <xdr:rowOff>19050</xdr:rowOff>
        </xdr:from>
        <xdr:to>
          <xdr:col>2</xdr:col>
          <xdr:colOff>571500</xdr:colOff>
          <xdr:row>40</xdr:row>
          <xdr:rowOff>180975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dodatkowych zamknięć środkowych MV130 na plecach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2809875</xdr:colOff>
          <xdr:row>20</xdr:row>
          <xdr:rowOff>19050</xdr:rowOff>
        </xdr:from>
        <xdr:to>
          <xdr:col>2</xdr:col>
          <xdr:colOff>847725</xdr:colOff>
          <xdr:row>23</xdr:row>
          <xdr:rowOff>28575</xdr:rowOff>
        </xdr:to>
        <xdr:sp macro="" textlink="">
          <xdr:nvSpPr>
            <xdr:cNvPr id="5131" name="List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3438525</xdr:colOff>
          <xdr:row>4</xdr:row>
          <xdr:rowOff>0</xdr:rowOff>
        </xdr:from>
        <xdr:to>
          <xdr:col>2</xdr:col>
          <xdr:colOff>847725</xdr:colOff>
          <xdr:row>8</xdr:row>
          <xdr:rowOff>0</xdr:rowOff>
        </xdr:to>
        <xdr:sp macro="" textlink="">
          <xdr:nvSpPr>
            <xdr:cNvPr id="5132" name="List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19" name="Obraz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2455" y="59533"/>
          <a:ext cx="705737" cy="6857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35718</xdr:rowOff>
    </xdr:from>
    <xdr:to>
      <xdr:col>12</xdr:col>
      <xdr:colOff>261937</xdr:colOff>
      <xdr:row>19</xdr:row>
      <xdr:rowOff>113085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35718"/>
          <a:ext cx="5757862" cy="47154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25</xdr:row>
          <xdr:rowOff>200025</xdr:rowOff>
        </xdr:from>
        <xdr:to>
          <xdr:col>1</xdr:col>
          <xdr:colOff>733425</xdr:colOff>
          <xdr:row>28</xdr:row>
          <xdr:rowOff>171450</xdr:rowOff>
        </xdr:to>
        <xdr:sp macro="" textlink="">
          <xdr:nvSpPr>
            <xdr:cNvPr id="5133" name="List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1057275</xdr:colOff>
          <xdr:row>27</xdr:row>
          <xdr:rowOff>66675</xdr:rowOff>
        </xdr:from>
        <xdr:to>
          <xdr:col>1</xdr:col>
          <xdr:colOff>2600325</xdr:colOff>
          <xdr:row>34</xdr:row>
          <xdr:rowOff>38100</xdr:rowOff>
        </xdr:to>
        <xdr:sp macro="" textlink="">
          <xdr:nvSpPr>
            <xdr:cNvPr id="5134" name="List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33</xdr:row>
          <xdr:rowOff>9525</xdr:rowOff>
        </xdr:from>
        <xdr:to>
          <xdr:col>1</xdr:col>
          <xdr:colOff>723900</xdr:colOff>
          <xdr:row>34</xdr:row>
          <xdr:rowOff>28575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30</xdr:row>
          <xdr:rowOff>200025</xdr:rowOff>
        </xdr:from>
        <xdr:to>
          <xdr:col>1</xdr:col>
          <xdr:colOff>714375</xdr:colOff>
          <xdr:row>32</xdr:row>
          <xdr:rowOff>19050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449013</xdr:colOff>
      <xdr:row>6</xdr:row>
      <xdr:rowOff>136057</xdr:rowOff>
    </xdr:from>
    <xdr:to>
      <xdr:col>11</xdr:col>
      <xdr:colOff>340156</xdr:colOff>
      <xdr:row>13</xdr:row>
      <xdr:rowOff>85709</xdr:rowOff>
    </xdr:to>
    <xdr:sp macro="" textlink="">
      <xdr:nvSpPr>
        <xdr:cNvPr id="26" name="Prostokąt zaokrąglony 25"/>
        <xdr:cNvSpPr/>
      </xdr:nvSpPr>
      <xdr:spPr>
        <a:xfrm>
          <a:off x="9742692" y="1496771"/>
          <a:ext cx="1728107" cy="160972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</xdr:col>
          <xdr:colOff>1895475</xdr:colOff>
          <xdr:row>21</xdr:row>
          <xdr:rowOff>152400</xdr:rowOff>
        </xdr:to>
        <xdr:sp macro="" textlink="">
          <xdr:nvSpPr>
            <xdr:cNvPr id="5137" name="List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2819400</xdr:colOff>
          <xdr:row>26</xdr:row>
          <xdr:rowOff>9525</xdr:rowOff>
        </xdr:from>
        <xdr:to>
          <xdr:col>3</xdr:col>
          <xdr:colOff>0</xdr:colOff>
          <xdr:row>27</xdr:row>
          <xdr:rowOff>180975</xdr:rowOff>
        </xdr:to>
        <xdr:sp macro="" textlink="">
          <xdr:nvSpPr>
            <xdr:cNvPr id="5138" name="List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2819400</xdr:colOff>
          <xdr:row>33</xdr:row>
          <xdr:rowOff>19050</xdr:rowOff>
        </xdr:from>
        <xdr:to>
          <xdr:col>2</xdr:col>
          <xdr:colOff>847725</xdr:colOff>
          <xdr:row>34</xdr:row>
          <xdr:rowOff>38100</xdr:rowOff>
        </xdr:to>
        <xdr:sp macro="" textlink="">
          <xdr:nvSpPr>
            <xdr:cNvPr id="5139" name="Drop Down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2828925</xdr:colOff>
          <xdr:row>31</xdr:row>
          <xdr:rowOff>9525</xdr:rowOff>
        </xdr:from>
        <xdr:to>
          <xdr:col>3</xdr:col>
          <xdr:colOff>9525</xdr:colOff>
          <xdr:row>32</xdr:row>
          <xdr:rowOff>28575</xdr:rowOff>
        </xdr:to>
        <xdr:sp macro="" textlink="">
          <xdr:nvSpPr>
            <xdr:cNvPr id="5140" name="Drop Dow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24</xdr:row>
          <xdr:rowOff>0</xdr:rowOff>
        </xdr:from>
        <xdr:to>
          <xdr:col>1</xdr:col>
          <xdr:colOff>733425</xdr:colOff>
          <xdr:row>25</xdr:row>
          <xdr:rowOff>0</xdr:rowOff>
        </xdr:to>
        <xdr:sp macro="" textlink="">
          <xdr:nvSpPr>
            <xdr:cNvPr id="5141" name="Drop Down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2819400</xdr:colOff>
          <xdr:row>24</xdr:row>
          <xdr:rowOff>0</xdr:rowOff>
        </xdr:from>
        <xdr:to>
          <xdr:col>3</xdr:col>
          <xdr:colOff>0</xdr:colOff>
          <xdr:row>25</xdr:row>
          <xdr:rowOff>0</xdr:rowOff>
        </xdr:to>
        <xdr:sp macro="" textlink="">
          <xdr:nvSpPr>
            <xdr:cNvPr id="5142" name="Drop Down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12</xdr:col>
      <xdr:colOff>312967</xdr:colOff>
      <xdr:row>21</xdr:row>
      <xdr:rowOff>178069</xdr:rowOff>
    </xdr:from>
    <xdr:to>
      <xdr:col>16</xdr:col>
      <xdr:colOff>1195792</xdr:colOff>
      <xdr:row>45</xdr:row>
      <xdr:rowOff>127105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5931" y="4777283"/>
          <a:ext cx="4978575" cy="4684322"/>
        </a:xfrm>
        <a:prstGeom prst="rect">
          <a:avLst/>
        </a:prstGeom>
      </xdr:spPr>
    </xdr:pic>
    <xdr:clientData/>
  </xdr:twoCellAnchor>
  <xdr:twoCellAnchor editAs="oneCell">
    <xdr:from>
      <xdr:col>12</xdr:col>
      <xdr:colOff>436792</xdr:colOff>
      <xdr:row>1</xdr:row>
      <xdr:rowOff>13609</xdr:rowOff>
    </xdr:from>
    <xdr:to>
      <xdr:col>16</xdr:col>
      <xdr:colOff>1208317</xdr:colOff>
      <xdr:row>19</xdr:row>
      <xdr:rowOff>18607</xdr:rowOff>
    </xdr:to>
    <xdr:pic>
      <xdr:nvPicPr>
        <xdr:cNvPr id="22" name="Obraz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79756" y="204109"/>
          <a:ext cx="4867275" cy="44886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</xdr:row>
          <xdr:rowOff>57150</xdr:rowOff>
        </xdr:from>
        <xdr:to>
          <xdr:col>3</xdr:col>
          <xdr:colOff>714375</xdr:colOff>
          <xdr:row>2</xdr:row>
          <xdr:rowOff>180975</xdr:rowOff>
        </xdr:to>
        <xdr:sp macro="" textlink="">
          <xdr:nvSpPr>
            <xdr:cNvPr id="5143" name="List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35</xdr:row>
          <xdr:rowOff>190500</xdr:rowOff>
        </xdr:from>
        <xdr:to>
          <xdr:col>1</xdr:col>
          <xdr:colOff>2628900</xdr:colOff>
          <xdr:row>36</xdr:row>
          <xdr:rowOff>190500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Stosowanie nakładek montażowych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930" y="59533"/>
          <a:ext cx="705737" cy="6857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57150</xdr:rowOff>
        </xdr:from>
        <xdr:to>
          <xdr:col>3</xdr:col>
          <xdr:colOff>723900</xdr:colOff>
          <xdr:row>2</xdr:row>
          <xdr:rowOff>123825</xdr:rowOff>
        </xdr:to>
        <xdr:sp macro="" textlink="">
          <xdr:nvSpPr>
            <xdr:cNvPr id="6145" name="List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59530</xdr:colOff>
      <xdr:row>0</xdr:row>
      <xdr:rowOff>59533</xdr:rowOff>
    </xdr:from>
    <xdr:to>
      <xdr:col>2</xdr:col>
      <xdr:colOff>765267</xdr:colOff>
      <xdr:row>2</xdr:row>
      <xdr:rowOff>154781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930" y="59533"/>
          <a:ext cx="705737" cy="6857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57150</xdr:rowOff>
        </xdr:from>
        <xdr:to>
          <xdr:col>3</xdr:col>
          <xdr:colOff>723900</xdr:colOff>
          <xdr:row>2</xdr:row>
          <xdr:rowOff>123825</xdr:rowOff>
        </xdr:to>
        <xdr:sp macro="" textlink="">
          <xdr:nvSpPr>
            <xdr:cNvPr id="7169" name="List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86744</xdr:colOff>
      <xdr:row>0</xdr:row>
      <xdr:rowOff>59533</xdr:rowOff>
    </xdr:from>
    <xdr:to>
      <xdr:col>2</xdr:col>
      <xdr:colOff>792481</xdr:colOff>
      <xdr:row>2</xdr:row>
      <xdr:rowOff>154781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0030" y="59533"/>
          <a:ext cx="705737" cy="680355"/>
        </a:xfrm>
        <a:prstGeom prst="rect">
          <a:avLst/>
        </a:prstGeom>
      </xdr:spPr>
    </xdr:pic>
    <xdr:clientData/>
  </xdr:twoCellAnchor>
  <xdr:twoCellAnchor editAs="oneCell">
    <xdr:from>
      <xdr:col>1</xdr:col>
      <xdr:colOff>466717</xdr:colOff>
      <xdr:row>4</xdr:row>
      <xdr:rowOff>40821</xdr:rowOff>
    </xdr:from>
    <xdr:to>
      <xdr:col>1</xdr:col>
      <xdr:colOff>3990526</xdr:colOff>
      <xdr:row>11</xdr:row>
      <xdr:rowOff>126369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0360" y="1006928"/>
          <a:ext cx="3523809" cy="1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15</xdr:row>
      <xdr:rowOff>81643</xdr:rowOff>
    </xdr:from>
    <xdr:to>
      <xdr:col>1</xdr:col>
      <xdr:colOff>3995964</xdr:colOff>
      <xdr:row>25</xdr:row>
      <xdr:rowOff>119500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036" y="2952750"/>
          <a:ext cx="3628571" cy="1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462638</xdr:colOff>
      <xdr:row>29</xdr:row>
      <xdr:rowOff>122465</xdr:rowOff>
    </xdr:from>
    <xdr:to>
      <xdr:col>1</xdr:col>
      <xdr:colOff>3967400</xdr:colOff>
      <xdr:row>38</xdr:row>
      <xdr:rowOff>160346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6281" y="5470072"/>
          <a:ext cx="3504762" cy="1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367389</xdr:colOff>
      <xdr:row>41</xdr:row>
      <xdr:rowOff>149679</xdr:rowOff>
    </xdr:from>
    <xdr:to>
      <xdr:col>1</xdr:col>
      <xdr:colOff>3976913</xdr:colOff>
      <xdr:row>50</xdr:row>
      <xdr:rowOff>73274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1032" y="7783286"/>
          <a:ext cx="3609524" cy="1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285747</xdr:colOff>
      <xdr:row>83</xdr:row>
      <xdr:rowOff>40822</xdr:rowOff>
    </xdr:from>
    <xdr:to>
      <xdr:col>1</xdr:col>
      <xdr:colOff>3885747</xdr:colOff>
      <xdr:row>88</xdr:row>
      <xdr:rowOff>78798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9390" y="12627429"/>
          <a:ext cx="3600000" cy="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299354</xdr:colOff>
      <xdr:row>91</xdr:row>
      <xdr:rowOff>149679</xdr:rowOff>
    </xdr:from>
    <xdr:to>
      <xdr:col>1</xdr:col>
      <xdr:colOff>3832687</xdr:colOff>
      <xdr:row>100</xdr:row>
      <xdr:rowOff>44703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2997" y="11974286"/>
          <a:ext cx="3533333" cy="1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979714</xdr:colOff>
      <xdr:row>114</xdr:row>
      <xdr:rowOff>122465</xdr:rowOff>
    </xdr:from>
    <xdr:to>
      <xdr:col>1</xdr:col>
      <xdr:colOff>3151143</xdr:colOff>
      <xdr:row>130</xdr:row>
      <xdr:rowOff>122084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3357" y="14233072"/>
          <a:ext cx="217142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843637</xdr:colOff>
      <xdr:row>104</xdr:row>
      <xdr:rowOff>13607</xdr:rowOff>
    </xdr:from>
    <xdr:to>
      <xdr:col>1</xdr:col>
      <xdr:colOff>3292923</xdr:colOff>
      <xdr:row>111</xdr:row>
      <xdr:rowOff>109834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7280" y="14314714"/>
          <a:ext cx="2449286" cy="1429727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979715</xdr:colOff>
      <xdr:row>137</xdr:row>
      <xdr:rowOff>0</xdr:rowOff>
    </xdr:from>
    <xdr:to>
      <xdr:col>1</xdr:col>
      <xdr:colOff>3151144</xdr:colOff>
      <xdr:row>153</xdr:row>
      <xdr:rowOff>18667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3358" y="20206607"/>
          <a:ext cx="2171429" cy="30666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57150</xdr:rowOff>
        </xdr:from>
        <xdr:to>
          <xdr:col>3</xdr:col>
          <xdr:colOff>723900</xdr:colOff>
          <xdr:row>3</xdr:row>
          <xdr:rowOff>38100</xdr:rowOff>
        </xdr:to>
        <xdr:sp macro="" textlink="">
          <xdr:nvSpPr>
            <xdr:cNvPr id="8193" name="List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857256</xdr:colOff>
      <xdr:row>57</xdr:row>
      <xdr:rowOff>149679</xdr:rowOff>
    </xdr:from>
    <xdr:to>
      <xdr:col>1</xdr:col>
      <xdr:colOff>3355590</xdr:colOff>
      <xdr:row>65</xdr:row>
      <xdr:rowOff>177977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0899" y="11212286"/>
          <a:ext cx="2498334" cy="1552298"/>
        </a:xfrm>
        <a:prstGeom prst="rect">
          <a:avLst/>
        </a:prstGeom>
      </xdr:spPr>
    </xdr:pic>
    <xdr:clientData/>
  </xdr:twoCellAnchor>
  <xdr:twoCellAnchor editAs="oneCell">
    <xdr:from>
      <xdr:col>1</xdr:col>
      <xdr:colOff>911677</xdr:colOff>
      <xdr:row>70</xdr:row>
      <xdr:rowOff>136072</xdr:rowOff>
    </xdr:from>
    <xdr:to>
      <xdr:col>1</xdr:col>
      <xdr:colOff>3215677</xdr:colOff>
      <xdr:row>78</xdr:row>
      <xdr:rowOff>119789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5320" y="13675179"/>
          <a:ext cx="2304000" cy="15077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10583</xdr:colOff>
      <xdr:row>3</xdr:row>
      <xdr:rowOff>74083</xdr:rowOff>
    </xdr:from>
    <xdr:to>
      <xdr:col>10</xdr:col>
      <xdr:colOff>208987</xdr:colOff>
      <xdr:row>5</xdr:row>
      <xdr:rowOff>7369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9916" y="645583"/>
          <a:ext cx="449523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5</xdr:row>
      <xdr:rowOff>0</xdr:rowOff>
    </xdr:from>
    <xdr:to>
      <xdr:col>15</xdr:col>
      <xdr:colOff>108308</xdr:colOff>
      <xdr:row>6</xdr:row>
      <xdr:rowOff>179916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7083" y="952500"/>
          <a:ext cx="7442558" cy="5376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.xml"/><Relationship Id="rId13" Type="http://schemas.openxmlformats.org/officeDocument/2006/relationships/ctrlProp" Target="../ctrlProps/ctrlProp4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7.xml"/><Relationship Id="rId12" Type="http://schemas.openxmlformats.org/officeDocument/2006/relationships/ctrlProp" Target="../ctrlProps/ctrlProp42.xml"/><Relationship Id="rId17" Type="http://schemas.openxmlformats.org/officeDocument/2006/relationships/ctrlProp" Target="../ctrlProps/ctrlProp4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4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6.xml"/><Relationship Id="rId11" Type="http://schemas.openxmlformats.org/officeDocument/2006/relationships/ctrlProp" Target="../ctrlProps/ctrlProp41.xml"/><Relationship Id="rId5" Type="http://schemas.openxmlformats.org/officeDocument/2006/relationships/ctrlProp" Target="../ctrlProps/ctrlProp35.xml"/><Relationship Id="rId15" Type="http://schemas.openxmlformats.org/officeDocument/2006/relationships/ctrlProp" Target="../ctrlProps/ctrlProp45.xml"/><Relationship Id="rId10" Type="http://schemas.openxmlformats.org/officeDocument/2006/relationships/ctrlProp" Target="../ctrlProps/ctrlProp40.xml"/><Relationship Id="rId4" Type="http://schemas.openxmlformats.org/officeDocument/2006/relationships/ctrlProp" Target="../ctrlProps/ctrlProp34.xml"/><Relationship Id="rId9" Type="http://schemas.openxmlformats.org/officeDocument/2006/relationships/ctrlProp" Target="../ctrlProps/ctrlProp39.xml"/><Relationship Id="rId14" Type="http://schemas.openxmlformats.org/officeDocument/2006/relationships/ctrlProp" Target="../ctrlProps/ctrlProp4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0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10" Type="http://schemas.openxmlformats.org/officeDocument/2006/relationships/ctrlProp" Target="../ctrlProps/ctrlProp54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2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ftt.roto-frank.com/pl/download/IMO_403_PL_v4/" TargetMode="External"/><Relationship Id="rId1" Type="http://schemas.openxmlformats.org/officeDocument/2006/relationships/hyperlink" Target="https://ftt.roto-frank.com/de/download/IMO_403_DE_v2/" TargetMode="External"/><Relationship Id="rId6" Type="http://schemas.openxmlformats.org/officeDocument/2006/relationships/ctrlProp" Target="../ctrlProps/ctrlProp64.xml"/><Relationship Id="rId5" Type="http://schemas.openxmlformats.org/officeDocument/2006/relationships/vmlDrawing" Target="../drawings/vmlDrawing8.vm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ftt.roto-frank.com/de/download/IMO_403_DE_v2/" TargetMode="External"/><Relationship Id="rId1" Type="http://schemas.openxmlformats.org/officeDocument/2006/relationships/hyperlink" Target="https://ftt.roto-frank.com/de/download/IMO_403_DE_v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>
    <pageSetUpPr fitToPage="1"/>
  </sheetPr>
  <dimension ref="A1:U373"/>
  <sheetViews>
    <sheetView showGridLines="0" tabSelected="1" zoomScale="80" zoomScaleNormal="80" workbookViewId="0">
      <selection activeCell="C13" sqref="C13"/>
    </sheetView>
  </sheetViews>
  <sheetFormatPr defaultRowHeight="15" x14ac:dyDescent="0.25"/>
  <cols>
    <col min="1" max="1" width="19.7109375" style="37" customWidth="1"/>
    <col min="2" max="2" width="52.5703125" style="37" customWidth="1"/>
    <col min="3" max="3" width="12.85546875" style="37" customWidth="1"/>
    <col min="4" max="4" width="15.5703125" style="37" bestFit="1" customWidth="1"/>
    <col min="5" max="5" width="9.85546875" style="37" bestFit="1" customWidth="1"/>
    <col min="6" max="6" width="12.7109375" style="37" bestFit="1" customWidth="1"/>
    <col min="7" max="7" width="9.140625" style="37"/>
    <col min="8" max="8" width="14.140625" style="37" bestFit="1" customWidth="1"/>
    <col min="9" max="12" width="9.140625" style="37"/>
    <col min="13" max="13" width="10" style="37" bestFit="1" customWidth="1"/>
    <col min="14" max="16384" width="9.140625" style="37"/>
  </cols>
  <sheetData>
    <row r="1" spans="1:21" x14ac:dyDescent="0.25">
      <c r="A1" s="35"/>
      <c r="B1" s="35"/>
      <c r="C1" s="35"/>
      <c r="D1" s="36" t="str">
        <f>SAP!A32</f>
        <v xml:space="preserve">Powrót 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31.5" x14ac:dyDescent="0.5">
      <c r="A2" s="38" t="str">
        <f>SAP!A11</f>
        <v>Roto Patio Inowa Schemat A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25">
      <c r="A3" s="35" t="str">
        <f>SAP!A16</f>
        <v>(dobór przygotowany wg instrukcji IMO_403_DE_v7)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5.75" x14ac:dyDescent="0.25">
      <c r="A4" s="39" t="str">
        <f>SAP!A17</f>
        <v xml:space="preserve">Wybór schematu:                                      </v>
      </c>
      <c r="B4" s="40"/>
      <c r="C4" s="41" t="str">
        <f>SAP!A31</f>
        <v xml:space="preserve">  Profil: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25">
      <c r="A5" s="42" t="str">
        <f>SAP!A18</f>
        <v>Schemat A</v>
      </c>
      <c r="B5" s="43" t="str">
        <f>SAP!A25</f>
        <v>TYLKO PVC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25">
      <c r="A6" s="42" t="str">
        <f>SAP!A19</f>
        <v>Schemat A RC2</v>
      </c>
      <c r="B6" s="43" t="str">
        <f>SAP!A25</f>
        <v>TYLKO PVC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122" t="str">
        <f>SAP!A20</f>
        <v>Schemat A' w opracowaniu</v>
      </c>
      <c r="B7" s="43" t="str">
        <f>SAP!A26</f>
        <v>TYLKO DREWNO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25">
      <c r="A8" s="42" t="str">
        <f>SAP!A21</f>
        <v>Schemat C</v>
      </c>
      <c r="B8" s="43" t="str">
        <f>SAP!A27</f>
        <v>TYLKO PVC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122" t="str">
        <f>SAP!A22</f>
        <v>Schemat C' w opracowaniu</v>
      </c>
      <c r="B9" s="43" t="str">
        <f>SAP!A28</f>
        <v>TYLKO DREWNO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x14ac:dyDescent="0.25">
      <c r="A10" s="122" t="str">
        <f>SAP!A23</f>
        <v>Schemat K w opracowaniu</v>
      </c>
      <c r="B10" s="43" t="str">
        <f>SAP!A29</f>
        <v>TYLKO PVC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15.75" thickBot="1" x14ac:dyDescent="0.3">
      <c r="A11" s="122" t="str">
        <f>SAP!A24</f>
        <v>Schemat K' w opracowaniu</v>
      </c>
      <c r="B11" s="43" t="str">
        <f>SAP!A30</f>
        <v>TYLKO DREWNO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24.75" thickBot="1" x14ac:dyDescent="0.3">
      <c r="A12" s="44" t="str">
        <f>SAP!A33</f>
        <v>Wymiary:</v>
      </c>
      <c r="B12" s="45" t="str">
        <f>SAP!A34</f>
        <v>Ciężar skrzydła max 200 kg</v>
      </c>
      <c r="C12" s="100" t="str">
        <f>SAP!A35</f>
        <v>Uzupełniamy żółte pola ↓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9.5" thickBot="1" x14ac:dyDescent="0.35">
      <c r="A13" s="44" t="str">
        <f>SAP!A36</f>
        <v>Szerokość ościeżnicy FB:</v>
      </c>
      <c r="B13" s="35"/>
      <c r="C13" s="33">
        <v>3000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9.5" thickBot="1" x14ac:dyDescent="0.35">
      <c r="A14" s="44" t="str">
        <f>SAP!A37</f>
        <v>Wysokość ościeżnicy FH:</v>
      </c>
      <c r="C14" s="33">
        <v>2400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ht="18.75" x14ac:dyDescent="0.3">
      <c r="A15" s="35" t="str">
        <f>SAP!A38</f>
        <v>FFB szerokość skrzydła na wrębie (min: 710 mm; max: 1500 mm):</v>
      </c>
      <c r="B15" s="35"/>
      <c r="C15" s="46">
        <f>D92</f>
        <v>1425</v>
      </c>
      <c r="D15" s="47" t="str">
        <f>IF(C15&lt;710,SAP!A72,IF(C15&lt;=1500,"OK",IF(C15&gt;1500,SAP!A73)))</f>
        <v>OK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8.75" x14ac:dyDescent="0.3">
      <c r="A16" s="35" t="str">
        <f>SAP!A39</f>
        <v>FFH wysokość skrzydła na wrębie (min: 600 mm; max: 2500 mm):</v>
      </c>
      <c r="B16" s="35"/>
      <c r="C16" s="48">
        <f>C92</f>
        <v>2237</v>
      </c>
      <c r="D16" s="47" t="str">
        <f>IF(C16&lt;=599,SAP!A74,IF(C16&lt;=2500,"OK",IF(C16&gt;2501,SAP!A75)))</f>
        <v>OK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5.75" x14ac:dyDescent="0.25">
      <c r="A17" s="35" t="str">
        <f>SAP!A41</f>
        <v>Proporcje: max 2:1</v>
      </c>
      <c r="B17" s="35"/>
      <c r="C17" s="49" t="str">
        <f>F92</f>
        <v>prawidłowe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6.5" thickBot="1" x14ac:dyDescent="0.3">
      <c r="A18" s="70"/>
      <c r="B18" s="50" t="str">
        <f>SAP!A42</f>
        <v>Ilość: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9.5" thickBot="1" x14ac:dyDescent="0.35">
      <c r="A19" s="35"/>
      <c r="B19" s="35"/>
      <c r="C19" s="33">
        <v>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ht="15.75" x14ac:dyDescent="0.25">
      <c r="A20" s="44" t="str">
        <f>SAP!A45</f>
        <v>Kierunek otwierania:</v>
      </c>
      <c r="B20" s="35"/>
      <c r="C20" s="41" t="str">
        <f>SAP!A47</f>
        <v xml:space="preserve">  Kolor osłonek: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15.75" x14ac:dyDescent="0.25">
      <c r="A23" s="44" t="str">
        <f>SAP!A48</f>
        <v>Rodzaj zasuwnicy (z wkładką bębenkową FFH&gt;1801):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x14ac:dyDescent="0.25">
      <c r="A24" s="5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x14ac:dyDescent="0.25">
      <c r="A26" s="43" t="str">
        <f>M140</f>
        <v/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5.75" x14ac:dyDescent="0.25">
      <c r="A27" s="44" t="str">
        <f>SAP!A50</f>
        <v>Klamka:</v>
      </c>
      <c r="B27" s="35"/>
      <c r="C27" s="44" t="str">
        <f>SAP!A51</f>
        <v>Kolor klamki: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x14ac:dyDescent="0.25">
      <c r="A31" s="125" t="str">
        <f>I114</f>
        <v xml:space="preserve"> </v>
      </c>
      <c r="B31" s="10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ht="15.75" x14ac:dyDescent="0.25">
      <c r="A33" s="44" t="str">
        <f>SAP!A57</f>
        <v>Pochwyt od zewnątrz: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ht="17.2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ht="17.2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ht="15.75" x14ac:dyDescent="0.25">
      <c r="A36" s="44" t="str">
        <f>SAP!A126</f>
        <v>Montaż okuć: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5.75" x14ac:dyDescent="0.25">
      <c r="A37" s="4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5.75" x14ac:dyDescent="0.25">
      <c r="A38" s="44" t="str">
        <f>SAP!B131</f>
        <v>Dodatki: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ht="15.75" x14ac:dyDescent="0.25">
      <c r="A39" s="68" t="str">
        <f>SAP!A58</f>
        <v>Dobór Roto Patio Inowa, schemat A</v>
      </c>
      <c r="B39" s="35"/>
      <c r="C39" s="69" t="s">
        <v>290</v>
      </c>
      <c r="D39" s="73">
        <f>D92</f>
        <v>1425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ht="15.75" x14ac:dyDescent="0.25">
      <c r="A40" s="68" t="str">
        <f>SAP!A63</f>
        <v>Kierunek</v>
      </c>
      <c r="B40" s="72" t="str">
        <f>B84</f>
        <v>Lewe --&gt;</v>
      </c>
      <c r="C40" s="69" t="s">
        <v>289</v>
      </c>
      <c r="D40" s="73">
        <f>C92</f>
        <v>2237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ht="18.75" x14ac:dyDescent="0.3">
      <c r="A41" s="52" t="s">
        <v>31</v>
      </c>
      <c r="B41" s="52" t="str">
        <f>SAP!A66</f>
        <v>Artykuł</v>
      </c>
      <c r="C41" s="52" t="str">
        <f>SAP!A67</f>
        <v>Ilość szt .</v>
      </c>
      <c r="D41" s="52" t="str">
        <f>SAP!A68</f>
        <v>Na zlecenie</v>
      </c>
      <c r="H41" s="35"/>
      <c r="I41" s="35"/>
      <c r="J41" s="35"/>
      <c r="K41" s="35"/>
    </row>
    <row r="42" spans="1:21" x14ac:dyDescent="0.25">
      <c r="A42" s="53">
        <f t="shared" ref="A42:B59" si="0">A94</f>
        <v>798032</v>
      </c>
      <c r="B42" s="54" t="str">
        <f t="shared" si="0"/>
        <v>Zasuwn. KSR 1890/1000 2V D35 PIN</v>
      </c>
      <c r="C42" s="53">
        <f>E94</f>
        <v>1</v>
      </c>
      <c r="D42" s="53">
        <f t="shared" ref="D42:D70" si="1">C42*$E$91</f>
        <v>1</v>
      </c>
      <c r="H42" s="35"/>
      <c r="I42" s="108"/>
      <c r="J42" s="35"/>
      <c r="K42" s="35"/>
    </row>
    <row r="43" spans="1:21" x14ac:dyDescent="0.25">
      <c r="A43" s="53">
        <f t="shared" si="0"/>
        <v>297858</v>
      </c>
      <c r="B43" s="53" t="str">
        <f t="shared" si="0"/>
        <v>Przedłużka zasuwn. NT MV400 bez zaczepu</v>
      </c>
      <c r="C43" s="53">
        <f t="shared" ref="C43:C59" si="2">E95</f>
        <v>1</v>
      </c>
      <c r="D43" s="53">
        <f t="shared" si="1"/>
        <v>1</v>
      </c>
      <c r="H43" s="35"/>
      <c r="I43" s="108"/>
      <c r="J43" s="35"/>
      <c r="K43" s="35"/>
    </row>
    <row r="44" spans="1:21" ht="15.75" x14ac:dyDescent="0.25">
      <c r="A44" s="53">
        <f t="shared" si="0"/>
        <v>603447</v>
      </c>
      <c r="B44" s="53" t="str">
        <f t="shared" si="0"/>
        <v>Zamk. środkowe góra 1001-1200 NT ALV</v>
      </c>
      <c r="C44" s="53">
        <f t="shared" si="2"/>
        <v>2</v>
      </c>
      <c r="D44" s="53">
        <f t="shared" si="1"/>
        <v>2</v>
      </c>
      <c r="E44" s="120" t="str">
        <f>F96</f>
        <v xml:space="preserve"> </v>
      </c>
      <c r="H44" s="35"/>
      <c r="I44" s="35"/>
      <c r="J44" s="35"/>
      <c r="K44" s="35"/>
    </row>
    <row r="45" spans="1:21" x14ac:dyDescent="0.25">
      <c r="A45" s="53">
        <f t="shared" si="0"/>
        <v>255281</v>
      </c>
      <c r="B45" s="53" t="str">
        <f t="shared" si="0"/>
        <v>Zamkn. środkowe 1E NT MV600</v>
      </c>
      <c r="C45" s="53">
        <f t="shared" si="2"/>
        <v>1</v>
      </c>
      <c r="D45" s="53">
        <f t="shared" si="1"/>
        <v>1</v>
      </c>
      <c r="H45" s="35"/>
      <c r="I45" s="35"/>
      <c r="J45" s="35"/>
      <c r="K45" s="35"/>
    </row>
    <row r="46" spans="1:21" x14ac:dyDescent="0.25">
      <c r="A46" s="53">
        <f t="shared" si="0"/>
        <v>297858</v>
      </c>
      <c r="B46" s="53" t="str">
        <f t="shared" si="0"/>
        <v>Przedłużka zasuwn. NT MV400 bez zaczepu</v>
      </c>
      <c r="C46" s="53">
        <f t="shared" si="2"/>
        <v>1</v>
      </c>
      <c r="D46" s="53">
        <f t="shared" si="1"/>
        <v>1</v>
      </c>
    </row>
    <row r="47" spans="1:21" x14ac:dyDescent="0.25">
      <c r="A47" s="53">
        <f t="shared" si="0"/>
        <v>450821</v>
      </c>
      <c r="B47" s="53" t="str">
        <f t="shared" si="0"/>
        <v>Zamkn. środ. 200/E łącz NT</v>
      </c>
      <c r="C47" s="53">
        <f t="shared" si="2"/>
        <v>1</v>
      </c>
      <c r="D47" s="53">
        <f t="shared" si="1"/>
        <v>1</v>
      </c>
    </row>
    <row r="48" spans="1:21" x14ac:dyDescent="0.25">
      <c r="A48" s="53">
        <f t="shared" si="0"/>
        <v>260272</v>
      </c>
      <c r="B48" s="53" t="str">
        <f t="shared" si="0"/>
        <v>Narożnik Ku/r NT/1V</v>
      </c>
      <c r="C48" s="53">
        <f t="shared" si="2"/>
        <v>2</v>
      </c>
      <c r="D48" s="53">
        <f t="shared" si="1"/>
        <v>2</v>
      </c>
    </row>
    <row r="49" spans="1:4" x14ac:dyDescent="0.25">
      <c r="A49" s="53">
        <f t="shared" si="0"/>
        <v>260275</v>
      </c>
      <c r="B49" s="53" t="str">
        <f t="shared" si="0"/>
        <v>Narożnik NT/1E</v>
      </c>
      <c r="C49" s="53">
        <f t="shared" si="2"/>
        <v>2</v>
      </c>
      <c r="D49" s="53">
        <f t="shared" si="1"/>
        <v>2</v>
      </c>
    </row>
    <row r="50" spans="1:4" x14ac:dyDescent="0.25">
      <c r="A50" s="53">
        <f t="shared" si="0"/>
        <v>762909</v>
      </c>
      <c r="B50" s="53" t="str">
        <f t="shared" si="0"/>
        <v>Wózek 8 41 L PIN</v>
      </c>
      <c r="C50" s="53">
        <f t="shared" si="2"/>
        <v>3</v>
      </c>
      <c r="D50" s="53">
        <f t="shared" si="1"/>
        <v>3</v>
      </c>
    </row>
    <row r="51" spans="1:4" x14ac:dyDescent="0.25">
      <c r="A51" s="53">
        <f t="shared" si="0"/>
        <v>762911</v>
      </c>
      <c r="B51" s="53" t="str">
        <f t="shared" si="0"/>
        <v>Jednostka ster. 8 41 L PIN</v>
      </c>
      <c r="C51" s="53">
        <f t="shared" si="2"/>
        <v>3</v>
      </c>
      <c r="D51" s="53">
        <f t="shared" si="1"/>
        <v>3</v>
      </c>
    </row>
    <row r="52" spans="1:4" x14ac:dyDescent="0.25">
      <c r="A52" s="53">
        <f t="shared" si="0"/>
        <v>762913</v>
      </c>
      <c r="B52" s="53" t="str">
        <f t="shared" si="0"/>
        <v>Docisk środkowy 8 41 L PIN</v>
      </c>
      <c r="C52" s="53">
        <f t="shared" si="2"/>
        <v>3</v>
      </c>
      <c r="D52" s="53">
        <f t="shared" si="1"/>
        <v>3</v>
      </c>
    </row>
    <row r="53" spans="1:4" x14ac:dyDescent="0.25">
      <c r="A53" s="53">
        <f t="shared" si="0"/>
        <v>764350</v>
      </c>
      <c r="B53" s="53" t="str">
        <f t="shared" si="0"/>
        <v>Zamkn. środkowe 1E NTN MV130 łączone</v>
      </c>
      <c r="C53" s="53">
        <f t="shared" si="2"/>
        <v>4</v>
      </c>
      <c r="D53" s="53">
        <f t="shared" si="1"/>
        <v>4</v>
      </c>
    </row>
    <row r="54" spans="1:4" x14ac:dyDescent="0.25">
      <c r="A54" s="53">
        <f t="shared" si="0"/>
        <v>809612</v>
      </c>
      <c r="B54" s="53" t="str">
        <f t="shared" si="0"/>
        <v>Trzpień docisku środkowego 32.8 PIN Aluplast</v>
      </c>
      <c r="C54" s="53">
        <f t="shared" si="2"/>
        <v>3</v>
      </c>
      <c r="D54" s="53">
        <f t="shared" si="1"/>
        <v>3</v>
      </c>
    </row>
    <row r="55" spans="1:4" x14ac:dyDescent="0.25">
      <c r="A55" s="53">
        <f t="shared" si="0"/>
        <v>793493</v>
      </c>
      <c r="B55" s="53" t="str">
        <f t="shared" si="0"/>
        <v>Zaczep docisku MV-SEB</v>
      </c>
      <c r="C55" s="53">
        <f t="shared" si="2"/>
        <v>3</v>
      </c>
      <c r="D55" s="53">
        <f t="shared" si="1"/>
        <v>3</v>
      </c>
    </row>
    <row r="56" spans="1:4" x14ac:dyDescent="0.25">
      <c r="A56" s="53">
        <f t="shared" si="0"/>
        <v>788175</v>
      </c>
      <c r="B56" s="53" t="str">
        <f t="shared" si="0"/>
        <v>Zaczep blok.bł.obsługi drewno/PVC12.2PIN</v>
      </c>
      <c r="C56" s="53">
        <f t="shared" si="2"/>
        <v>1</v>
      </c>
      <c r="D56" s="53">
        <f t="shared" si="1"/>
        <v>1</v>
      </c>
    </row>
    <row r="57" spans="1:4" x14ac:dyDescent="0.25">
      <c r="A57" s="53">
        <f t="shared" si="0"/>
        <v>744579</v>
      </c>
      <c r="B57" s="53" t="str">
        <f t="shared" si="0"/>
        <v>Zaczep p-wyw PVC 12.2 PIN</v>
      </c>
      <c r="C57" s="53">
        <f t="shared" si="2"/>
        <v>3</v>
      </c>
      <c r="D57" s="53">
        <f t="shared" si="1"/>
        <v>3</v>
      </c>
    </row>
    <row r="58" spans="1:4" x14ac:dyDescent="0.25">
      <c r="A58" s="53">
        <f t="shared" si="0"/>
        <v>635307</v>
      </c>
      <c r="B58" s="53" t="str">
        <f t="shared" si="0"/>
        <v>Zderzak 14 PIN</v>
      </c>
      <c r="C58" s="53">
        <f t="shared" si="2"/>
        <v>2</v>
      </c>
      <c r="D58" s="53">
        <f t="shared" si="1"/>
        <v>2</v>
      </c>
    </row>
    <row r="59" spans="1:4" x14ac:dyDescent="0.25">
      <c r="A59" s="53">
        <f t="shared" si="0"/>
        <v>800196</v>
      </c>
      <c r="B59" s="53" t="str">
        <f t="shared" si="0"/>
        <v>Stoper do prowadnicy górnej PIN</v>
      </c>
      <c r="C59" s="53">
        <f t="shared" si="2"/>
        <v>1</v>
      </c>
      <c r="D59" s="53">
        <f t="shared" si="1"/>
        <v>1</v>
      </c>
    </row>
    <row r="60" spans="1:4" x14ac:dyDescent="0.25">
      <c r="A60" s="53">
        <f t="shared" ref="A60:B62" si="3">A112</f>
        <v>800197</v>
      </c>
      <c r="B60" s="53" t="str">
        <f t="shared" si="3"/>
        <v>El. dyst. stopera prowadnicy górnej PIN</v>
      </c>
      <c r="C60" s="53">
        <f>E112</f>
        <v>1</v>
      </c>
      <c r="D60" s="53">
        <f t="shared" si="1"/>
        <v>1</v>
      </c>
    </row>
    <row r="61" spans="1:4" x14ac:dyDescent="0.25">
      <c r="A61" s="53">
        <f t="shared" si="3"/>
        <v>819632</v>
      </c>
      <c r="B61" s="53" t="str">
        <f t="shared" si="3"/>
        <v>Osłona MB R01.1 PIN</v>
      </c>
      <c r="C61" s="53">
        <f>E113</f>
        <v>3</v>
      </c>
      <c r="D61" s="53">
        <f t="shared" si="1"/>
        <v>3</v>
      </c>
    </row>
    <row r="62" spans="1:4" x14ac:dyDescent="0.25">
      <c r="A62" s="53">
        <f t="shared" si="3"/>
        <v>780551</v>
      </c>
      <c r="B62" s="53" t="str">
        <f t="shared" si="3"/>
        <v>Klamka R-line 43mm 200 R01.1 ALV</v>
      </c>
      <c r="C62" s="53">
        <f>E114</f>
        <v>1</v>
      </c>
      <c r="D62" s="53">
        <f t="shared" si="1"/>
        <v>1</v>
      </c>
    </row>
    <row r="63" spans="1:4" x14ac:dyDescent="0.25">
      <c r="A63" s="55">
        <f t="shared" ref="A63:B64" si="4">A116</f>
        <v>820028</v>
      </c>
      <c r="B63" s="53" t="str">
        <f t="shared" si="4"/>
        <v>Pochwyt zlicowany 43mm R01.1 PIN</v>
      </c>
      <c r="C63" s="53">
        <f>E116</f>
        <v>1</v>
      </c>
      <c r="D63" s="53">
        <f t="shared" si="1"/>
        <v>1</v>
      </c>
    </row>
    <row r="64" spans="1:4" x14ac:dyDescent="0.25">
      <c r="A64" s="55">
        <f t="shared" si="4"/>
        <v>817180</v>
      </c>
      <c r="B64" s="53" t="str">
        <f t="shared" si="4"/>
        <v>Zestaw śrub M5X70 (2szt.)</v>
      </c>
      <c r="C64" s="53">
        <f>E117</f>
        <v>1</v>
      </c>
      <c r="D64" s="53">
        <f t="shared" si="1"/>
        <v>1</v>
      </c>
    </row>
    <row r="65" spans="1:8" x14ac:dyDescent="0.25">
      <c r="A65" s="53">
        <f t="shared" ref="A65:B67" si="5">A118</f>
        <v>0</v>
      </c>
      <c r="B65" s="53" t="str">
        <f t="shared" si="5"/>
        <v>__</v>
      </c>
      <c r="C65" s="53">
        <f>E118</f>
        <v>0</v>
      </c>
      <c r="D65" s="53">
        <f t="shared" si="1"/>
        <v>0</v>
      </c>
    </row>
    <row r="66" spans="1:8" x14ac:dyDescent="0.25">
      <c r="A66" s="53">
        <f t="shared" si="5"/>
        <v>0</v>
      </c>
      <c r="B66" s="53" t="str">
        <f t="shared" si="5"/>
        <v>__</v>
      </c>
      <c r="C66" s="53">
        <f>E119</f>
        <v>0</v>
      </c>
      <c r="D66" s="53">
        <f t="shared" si="1"/>
        <v>0</v>
      </c>
    </row>
    <row r="67" spans="1:8" hidden="1" x14ac:dyDescent="0.25">
      <c r="A67" s="55">
        <f t="shared" si="5"/>
        <v>0</v>
      </c>
      <c r="B67" s="53" t="str">
        <f t="shared" si="5"/>
        <v>__</v>
      </c>
      <c r="C67" s="53">
        <f>E121</f>
        <v>0</v>
      </c>
      <c r="D67" s="53">
        <f t="shared" si="1"/>
        <v>0</v>
      </c>
    </row>
    <row r="68" spans="1:8" hidden="1" x14ac:dyDescent="0.25">
      <c r="A68" s="53">
        <f t="shared" ref="A68:B70" si="6">A121</f>
        <v>0</v>
      </c>
      <c r="B68" s="53" t="str">
        <f t="shared" si="6"/>
        <v>__</v>
      </c>
      <c r="C68" s="53">
        <f>E122</f>
        <v>0</v>
      </c>
      <c r="D68" s="53">
        <f t="shared" si="1"/>
        <v>0</v>
      </c>
    </row>
    <row r="69" spans="1:8" hidden="1" x14ac:dyDescent="0.25">
      <c r="A69" s="53">
        <f t="shared" si="6"/>
        <v>0</v>
      </c>
      <c r="B69" s="53" t="str">
        <f t="shared" si="6"/>
        <v>__</v>
      </c>
      <c r="C69" s="53">
        <f>E123</f>
        <v>0</v>
      </c>
      <c r="D69" s="56">
        <f t="shared" si="1"/>
        <v>0</v>
      </c>
      <c r="E69" s="57" t="s">
        <v>93</v>
      </c>
    </row>
    <row r="70" spans="1:8" hidden="1" x14ac:dyDescent="0.25">
      <c r="A70" s="53">
        <f t="shared" si="6"/>
        <v>0</v>
      </c>
      <c r="B70" s="53" t="str">
        <f t="shared" si="6"/>
        <v>__</v>
      </c>
      <c r="C70" s="53">
        <f>E116</f>
        <v>1</v>
      </c>
      <c r="D70" s="58">
        <f t="shared" si="1"/>
        <v>1</v>
      </c>
      <c r="E70" s="57" t="s">
        <v>92</v>
      </c>
    </row>
    <row r="71" spans="1:8" x14ac:dyDescent="0.25">
      <c r="E71" s="109"/>
    </row>
    <row r="72" spans="1:8" x14ac:dyDescent="0.25">
      <c r="B72" s="71" t="str">
        <f>SAP!A69</f>
        <v>Zamówienie szablonów i dokumentacji</v>
      </c>
      <c r="C72" s="59"/>
    </row>
    <row r="73" spans="1:8" x14ac:dyDescent="0.25">
      <c r="B73" s="53" t="str">
        <f>SAP!A70</f>
        <v>Certyfikat</v>
      </c>
    </row>
    <row r="74" spans="1:8" s="6" customFormat="1" hidden="1" x14ac:dyDescent="0.25">
      <c r="A74" s="5"/>
      <c r="B74" s="5"/>
      <c r="C74" s="5"/>
      <c r="D74" s="5"/>
      <c r="E74" s="5"/>
    </row>
    <row r="75" spans="1:8" s="6" customFormat="1" hidden="1" x14ac:dyDescent="0.25"/>
    <row r="76" spans="1:8" s="6" customFormat="1" hidden="1" x14ac:dyDescent="0.25"/>
    <row r="77" spans="1:8" s="6" customFormat="1" hidden="1" x14ac:dyDescent="0.25">
      <c r="B77" s="6" t="s">
        <v>60</v>
      </c>
      <c r="C77" s="6" t="str">
        <f>SAP!A8</f>
        <v>Aluplast</v>
      </c>
      <c r="D77" s="6" t="str">
        <f>SAP!A80</f>
        <v>Klamka 200mm</v>
      </c>
      <c r="F77" s="6" t="str">
        <f>SAP!A89</f>
        <v>R01.1 Naturalny srebrny</v>
      </c>
      <c r="H77" s="6" t="str">
        <f>SAP!A101</f>
        <v>brak</v>
      </c>
    </row>
    <row r="78" spans="1:8" s="6" customFormat="1" hidden="1" x14ac:dyDescent="0.25">
      <c r="B78" s="6" t="s">
        <v>61</v>
      </c>
      <c r="C78" s="6" t="str">
        <f>SAP!A9</f>
        <v>Drewno</v>
      </c>
      <c r="D78" s="6" t="str">
        <f>SAP!A81</f>
        <v>Klamka 200mm z przyciskiem</v>
      </c>
      <c r="F78" s="6" t="str">
        <f>SAP!A90</f>
        <v>R01.2 Nowy srebrny</v>
      </c>
      <c r="H78" s="6" t="str">
        <f>SAP!A102</f>
        <v>R01.1 Naturalny srebrny</v>
      </c>
    </row>
    <row r="79" spans="1:8" s="6" customFormat="1" hidden="1" x14ac:dyDescent="0.25">
      <c r="B79" s="6" t="s">
        <v>62</v>
      </c>
      <c r="C79" s="6" t="str">
        <f>SAP!A10</f>
        <v>Gealan</v>
      </c>
      <c r="D79" s="6" t="str">
        <f>SAP!A82</f>
        <v>Klamka 200mm 100Nm</v>
      </c>
      <c r="F79" s="6" t="str">
        <f>SAP!A91</f>
        <v>R01.3 Tytan</v>
      </c>
      <c r="H79" s="6" t="str">
        <f>SAP!A103</f>
        <v>R01.3 Tytan</v>
      </c>
    </row>
    <row r="80" spans="1:8" s="6" customFormat="1" hidden="1" x14ac:dyDescent="0.25">
      <c r="B80" s="6" t="s">
        <v>63</v>
      </c>
      <c r="D80" s="6" t="str">
        <f>SAP!A83</f>
        <v>Klamka 200mm obustronna</v>
      </c>
      <c r="F80" s="6" t="str">
        <f>SAP!A92</f>
        <v>R01.5 Srebrny</v>
      </c>
      <c r="H80" s="6" t="str">
        <f>SAP!A104</f>
        <v>R05.3 Średni brąz</v>
      </c>
    </row>
    <row r="81" spans="1:13" s="6" customFormat="1" hidden="1" x14ac:dyDescent="0.25">
      <c r="B81" s="6" t="s">
        <v>64</v>
      </c>
      <c r="D81" s="7">
        <v>1</v>
      </c>
      <c r="F81" s="6" t="str">
        <f>SAP!A93</f>
        <v>R02.2 Antracyt</v>
      </c>
      <c r="H81" s="6" t="str">
        <f>SAP!A105</f>
        <v>R05.5 Brązowy</v>
      </c>
    </row>
    <row r="82" spans="1:13" s="6" customFormat="1" hidden="1" x14ac:dyDescent="0.25">
      <c r="B82" s="6" t="s">
        <v>65</v>
      </c>
      <c r="D82" s="6" t="s">
        <v>192</v>
      </c>
      <c r="F82" s="6" t="str">
        <f>SAP!A94</f>
        <v>R05.3 Średni brąz</v>
      </c>
      <c r="H82" s="6" t="str">
        <f>SAP!A106</f>
        <v>R07.2 Biały</v>
      </c>
    </row>
    <row r="83" spans="1:13" s="6" customFormat="1" hidden="1" x14ac:dyDescent="0.25">
      <c r="D83" s="6" t="s">
        <v>193</v>
      </c>
      <c r="F83" s="6" t="str">
        <f>SAP!A95</f>
        <v>R05.4 Ciemny brąz</v>
      </c>
      <c r="H83" s="6" t="str">
        <f>SAP!A107</f>
        <v>R06.2 Czarny (pochwyt IS)</v>
      </c>
    </row>
    <row r="84" spans="1:13" s="6" customFormat="1" hidden="1" x14ac:dyDescent="0.25">
      <c r="B84" s="6" t="str">
        <f>IF(C206=1,C199,IF(C206=2,C200))</f>
        <v>Lewe --&gt;</v>
      </c>
      <c r="D84" s="6" t="s">
        <v>194</v>
      </c>
      <c r="F84" s="6" t="str">
        <f>SAP!A96</f>
        <v>R05.5 Brązowy</v>
      </c>
      <c r="H84" s="7">
        <v>3</v>
      </c>
    </row>
    <row r="85" spans="1:13" s="6" customFormat="1" hidden="1" x14ac:dyDescent="0.25">
      <c r="D85" s="6" t="str">
        <f>SAP!A87</f>
        <v>100mm dwustronna</v>
      </c>
      <c r="F85" s="6" t="str">
        <f>SAP!A97</f>
        <v>R06.2M Czarny Mat</v>
      </c>
    </row>
    <row r="86" spans="1:13" s="6" customFormat="1" hidden="1" x14ac:dyDescent="0.25">
      <c r="D86" s="6" t="str">
        <f>SAP!A88</f>
        <v>135mm dwustronna</v>
      </c>
      <c r="F86" s="6" t="str">
        <f>SAP!A98</f>
        <v>R07.2 Biały</v>
      </c>
      <c r="M86" s="6" t="str">
        <f>IF(D81=1,M89,IF(D81=2,M89,IF(D81=3,M87)))</f>
        <v>Aluplast -&gt; klamka z trzpieniem 37mm</v>
      </c>
    </row>
    <row r="87" spans="1:13" s="6" customFormat="1" hidden="1" x14ac:dyDescent="0.25">
      <c r="D87" s="8">
        <v>2</v>
      </c>
      <c r="F87" s="6" t="str">
        <f>SAP!A99</f>
        <v>R07.3 Kremowy</v>
      </c>
      <c r="M87" s="6" t="str">
        <f>IF(B89=1,SAP!A56,IF(B89=2,"",IF(B89=3,SAP!A56)))</f>
        <v>Uwaga! W przypadku zastosowania klamki obustronnej wybierz trzpień i klamkę obustronną</v>
      </c>
    </row>
    <row r="88" spans="1:13" s="6" customFormat="1" ht="15.75" hidden="1" x14ac:dyDescent="0.25">
      <c r="B88" s="6" t="s">
        <v>66</v>
      </c>
      <c r="D88" s="102">
        <f>IF(D81=4,4,IF(B89=1,3,IF(B89=3,3)))</f>
        <v>3</v>
      </c>
      <c r="F88" s="7">
        <v>1</v>
      </c>
      <c r="I88" s="74" t="str">
        <f>IF(B89=1,"Słupek:",IF(B89=2," ",IF(B89=3," ")))</f>
        <v>Słupek:</v>
      </c>
      <c r="M88" s="6" t="s">
        <v>330</v>
      </c>
    </row>
    <row r="89" spans="1:13" s="6" customFormat="1" ht="15.75" hidden="1" x14ac:dyDescent="0.25">
      <c r="B89" s="9">
        <v>1</v>
      </c>
      <c r="C89" s="6" t="s">
        <v>225</v>
      </c>
      <c r="D89" s="6" t="s">
        <v>226</v>
      </c>
      <c r="I89" s="44"/>
      <c r="M89" s="6" t="str">
        <f>IF(B89=1,SAP!A53,IF(B89=2,"",IF(B89=3,SAP!A55)))</f>
        <v>Aluplast -&gt; klamka z trzpieniem 37mm</v>
      </c>
    </row>
    <row r="90" spans="1:13" s="6" customFormat="1" ht="23.25" hidden="1" x14ac:dyDescent="0.35">
      <c r="C90" s="10">
        <f>IF(B89=1,C14-163,IF(B89=3,C14-177,IF(B89=2,C14-134)))</f>
        <v>2237</v>
      </c>
      <c r="D90" s="10">
        <f>IF(B89=1,C13/2-75,IF(B89=3,C13/2-58,IF(B89=2,C13/2-54)))</f>
        <v>1425</v>
      </c>
      <c r="E90" s="6" t="s">
        <v>27</v>
      </c>
      <c r="F90" s="6" t="s">
        <v>75</v>
      </c>
      <c r="I90" s="18" t="s">
        <v>315</v>
      </c>
    </row>
    <row r="91" spans="1:13" s="6" customFormat="1" hidden="1" x14ac:dyDescent="0.25">
      <c r="C91" s="6" t="s">
        <v>3</v>
      </c>
      <c r="D91" s="6" t="s">
        <v>0</v>
      </c>
      <c r="E91" s="11">
        <f>C19</f>
        <v>1</v>
      </c>
      <c r="I91" s="18" t="s">
        <v>316</v>
      </c>
    </row>
    <row r="92" spans="1:13" s="6" customFormat="1" hidden="1" x14ac:dyDescent="0.25">
      <c r="A92" s="6" t="s">
        <v>833</v>
      </c>
      <c r="C92" s="11">
        <f>C90</f>
        <v>2237</v>
      </c>
      <c r="D92" s="11">
        <f>D90</f>
        <v>1425</v>
      </c>
      <c r="F92" s="11" t="str">
        <f>IF(C92/D92&lt;=2,SAP!A43,IF(C92/D92&gt;2,SAP!A44))</f>
        <v>prawidłowe</v>
      </c>
      <c r="I92" s="18">
        <v>1</v>
      </c>
    </row>
    <row r="93" spans="1:13" s="6" customFormat="1" hidden="1" x14ac:dyDescent="0.25">
      <c r="A93" s="6">
        <f>IF(C17=SAP!A43,'Schemat A'!A94,IF('Schemat A'!C17=SAP!A44,0))</f>
        <v>798032</v>
      </c>
    </row>
    <row r="94" spans="1:13" s="6" customFormat="1" hidden="1" x14ac:dyDescent="0.25">
      <c r="A94" s="12">
        <f>IF(B89=1,C156,IF(B89=2,"!",IF(B89=3,C156)))</f>
        <v>798032</v>
      </c>
      <c r="B94" s="6" t="str">
        <f>IF(SAP!$A$7=1,VLOOKUP(A94,SAP!$1:$1048576,2,FALSE),IF(SAP!$A$7=2,VLOOKUP(A94,SAP!$1:$1048576,5,FALSE),IF(SAP!$A$7=3,VLOOKUP(A94,SAP!$1:$1048576,6,FALSE),IF(SAP!$A$7=4,VLOOKUP(A94,SAP!$1:$1048576,7,FALSE)))))</f>
        <v>Zasuwn. KSR 1890/1000 2V D35 PIN</v>
      </c>
      <c r="C94" s="6">
        <f>F137</f>
        <v>1</v>
      </c>
      <c r="E94" s="6">
        <f>IF(A94="!",0,IF(A94&lt;&gt;"!",C94))</f>
        <v>1</v>
      </c>
    </row>
    <row r="95" spans="1:13" s="6" customFormat="1" hidden="1" x14ac:dyDescent="0.25">
      <c r="A95" s="6">
        <f>IF(B89=1,G175,IF(B89=3,G175,IF(B89=2,0)))</f>
        <v>297858</v>
      </c>
      <c r="B95" s="6" t="str">
        <f>IF(SAP!$A$7=1,VLOOKUP(A95,SAP!$1:$1048576,2,FALSE),IF(SAP!$A$7=2,VLOOKUP(A95,SAP!$1:$1048576,5,FALSE),IF(SAP!$A$7=3,VLOOKUP(A95,SAP!$1:$1048576,6,FALSE),IF(SAP!$A$7=4,VLOOKUP(A95,SAP!$1:$1048576,7,FALSE)))))</f>
        <v>Przedłużka zasuwn. NT MV400 bez zaczepu</v>
      </c>
      <c r="C95" s="6">
        <f>F175</f>
        <v>1</v>
      </c>
      <c r="E95" s="6">
        <f>IF(A95=0,0,IF(A95&lt;&gt;0,C95))</f>
        <v>1</v>
      </c>
    </row>
    <row r="96" spans="1:13" s="6" customFormat="1" hidden="1" x14ac:dyDescent="0.25">
      <c r="A96" s="6">
        <f>IF(B89=1,G184,IF(B89=3,G184,IF(B89=2,0)))</f>
        <v>603447</v>
      </c>
      <c r="B96" s="6" t="str">
        <f>IF(SAP!$A$7=1,VLOOKUP(A96,SAP!$1:$1048576,2,FALSE),IF(SAP!$A$7=2,VLOOKUP(A96,SAP!$1:$1048576,5,FALSE),IF(SAP!$A$7=3,VLOOKUP(A96,SAP!$1:$1048576,6,FALSE),IF(SAP!$A$7=4,VLOOKUP(A96,SAP!$1:$1048576,7,FALSE)))))</f>
        <v>Zamk. środkowe góra 1001-1200 NT ALV</v>
      </c>
      <c r="C96" s="6">
        <f>F184*2</f>
        <v>2</v>
      </c>
      <c r="E96" s="6">
        <f>IF(A96=0,0,IF(A96&lt;&gt;0,C96))</f>
        <v>2</v>
      </c>
      <c r="F96" s="6" t="str">
        <f>IF(D15=SAP!A72,SAP!A71,IF('Schemat A'!D15=SAP!A73,SAP!A71,IF('Schemat A'!D15="ok"," ")))</f>
        <v xml:space="preserve"> </v>
      </c>
      <c r="I96" s="93"/>
    </row>
    <row r="97" spans="1:5" s="6" customFormat="1" hidden="1" x14ac:dyDescent="0.25">
      <c r="A97" s="6">
        <f>IF(B89=1,G192,IF(B89=3,G192,IF(B89=2,0)))</f>
        <v>255281</v>
      </c>
      <c r="B97" s="6" t="str">
        <f>IF(SAP!$A$7=1,VLOOKUP(A97,SAP!$1:$1048576,2,FALSE),IF(SAP!$A$7=2,VLOOKUP(A97,SAP!$1:$1048576,5,FALSE),IF(SAP!$A$7=3,VLOOKUP(A97,SAP!$1:$1048576,6,FALSE),IF(SAP!$A$7=4,VLOOKUP(A97,SAP!$1:$1048576,7,FALSE)))))</f>
        <v>Zamkn. środkowe 1E NT MV600</v>
      </c>
      <c r="C97" s="6">
        <f>F192</f>
        <v>1</v>
      </c>
      <c r="E97" s="6">
        <f t="shared" ref="E97:E123" si="7">IF(A97=0,0,IF(A97&lt;&gt;0,C97))</f>
        <v>1</v>
      </c>
    </row>
    <row r="98" spans="1:5" s="6" customFormat="1" hidden="1" x14ac:dyDescent="0.25">
      <c r="A98" s="6">
        <f>IF(B89=1,M192,IF(B89=3,M192,IF(B89=2,0)))</f>
        <v>297858</v>
      </c>
      <c r="B98" s="6" t="str">
        <f>IF(SAP!$A$7=1,VLOOKUP(A98,SAP!$1:$1048576,2,FALSE),IF(SAP!$A$7=2,VLOOKUP(A98,SAP!$1:$1048576,5,FALSE),IF(SAP!$A$7=3,VLOOKUP(A98,SAP!$1:$1048576,6,FALSE),IF(SAP!$A$7=4,VLOOKUP(A98,SAP!$1:$1048576,7,FALSE)))))</f>
        <v>Przedłużka zasuwn. NT MV400 bez zaczepu</v>
      </c>
      <c r="C98" s="6">
        <f>L192</f>
        <v>1</v>
      </c>
      <c r="E98" s="6">
        <f t="shared" si="7"/>
        <v>1</v>
      </c>
    </row>
    <row r="99" spans="1:5" s="6" customFormat="1" hidden="1" x14ac:dyDescent="0.25">
      <c r="A99" s="6">
        <f>IF(B89=1,S192,IF(B89=3,S192,IF(B89=2,0)))</f>
        <v>450821</v>
      </c>
      <c r="B99" s="6" t="str">
        <f>IF(SAP!$A$7=1,VLOOKUP(A99,SAP!$1:$1048576,2,FALSE),IF(SAP!$A$7=2,VLOOKUP(A99,SAP!$1:$1048576,5,FALSE),IF(SAP!$A$7=3,VLOOKUP(A99,SAP!$1:$1048576,6,FALSE),IF(SAP!$A$7=4,VLOOKUP(A99,SAP!$1:$1048576,7,FALSE)))))</f>
        <v>Zamkn. środ. 200/E łącz NT</v>
      </c>
      <c r="C99" s="6">
        <f>R192</f>
        <v>1</v>
      </c>
      <c r="E99" s="6">
        <f t="shared" si="7"/>
        <v>1</v>
      </c>
    </row>
    <row r="100" spans="1:5" s="6" customFormat="1" hidden="1" x14ac:dyDescent="0.25">
      <c r="A100" s="6">
        <f>IF(B89=1,A194,IF(B89=3,A194,IF(B89=2,0)))</f>
        <v>260272</v>
      </c>
      <c r="B100" s="6" t="str">
        <f>IF(SAP!$A$7=1,VLOOKUP(A100,SAP!$1:$1048576,2,FALSE),IF(SAP!$A$7=2,VLOOKUP(A100,SAP!$1:$1048576,5,FALSE),IF(SAP!$A$7=3,VLOOKUP(A100,SAP!$1:$1048576,6,FALSE),IF(SAP!$A$7=4,VLOOKUP(A100,SAP!$1:$1048576,7,FALSE)))))</f>
        <v>Narożnik Ku/r NT/1V</v>
      </c>
      <c r="C100" s="6">
        <f>C194</f>
        <v>2</v>
      </c>
      <c r="E100" s="6">
        <f t="shared" si="7"/>
        <v>2</v>
      </c>
    </row>
    <row r="101" spans="1:5" s="6" customFormat="1" hidden="1" x14ac:dyDescent="0.25">
      <c r="A101" s="6">
        <f>IF(B89=1,A195,IF(B89=3,A195,IF(B89=2,0)))</f>
        <v>260275</v>
      </c>
      <c r="B101" s="6" t="str">
        <f>IF(SAP!$A$7=1,VLOOKUP(A101,SAP!$1:$1048576,2,FALSE),IF(SAP!$A$7=2,VLOOKUP(A101,SAP!$1:$1048576,5,FALSE),IF(SAP!$A$7=3,VLOOKUP(A101,SAP!$1:$1048576,6,FALSE),IF(SAP!$A$7=4,VLOOKUP(A101,SAP!$1:$1048576,7,FALSE)))))</f>
        <v>Narożnik NT/1E</v>
      </c>
      <c r="C101" s="6">
        <f>C195</f>
        <v>2</v>
      </c>
      <c r="E101" s="6">
        <f t="shared" si="7"/>
        <v>2</v>
      </c>
    </row>
    <row r="102" spans="1:5" s="6" customFormat="1" hidden="1" x14ac:dyDescent="0.25">
      <c r="A102" s="6">
        <f>IF(B89=1,IF(C206=1,A202,IF(C206=2,A203)),IF(B89=2,0,IF(B89=3,IF(C206=1,A202,IF(C206=2,A203)))))</f>
        <v>762909</v>
      </c>
      <c r="B102" s="6" t="str">
        <f>IF(SAP!$A$7=1,VLOOKUP(A102,SAP!$1:$1048576,2,FALSE),IF(SAP!$A$7=2,VLOOKUP(A102,SAP!$1:$1048576,5,FALSE),IF(SAP!$A$7=3,VLOOKUP(A102,SAP!$1:$1048576,6,FALSE),IF(SAP!$A$7=4,VLOOKUP(A102,SAP!$1:$1048576,7,FALSE)))))</f>
        <v>Wózek 8 41 L PIN</v>
      </c>
      <c r="C102" s="6">
        <f>SUM(2,IF(D92&gt;=1061,1))</f>
        <v>3</v>
      </c>
      <c r="E102" s="6">
        <f t="shared" si="7"/>
        <v>3</v>
      </c>
    </row>
    <row r="103" spans="1:5" s="6" customFormat="1" hidden="1" x14ac:dyDescent="0.25">
      <c r="A103" s="6">
        <f>IF(B89=1,IF(C206=1,A207,IF(C206=2,A208)),IF(B89=2,0,IF(B89=3,IF(C206=1,A207,IF(C206=2,A208)))))</f>
        <v>762911</v>
      </c>
      <c r="B103" s="6" t="str">
        <f>IF(SAP!$A$7=1,VLOOKUP(A103,SAP!$1:$1048576,2,FALSE),IF(SAP!$A$7=2,VLOOKUP(A103,SAP!$1:$1048576,5,FALSE),IF(SAP!$A$7=3,VLOOKUP(A103,SAP!$1:$1048576,6,FALSE),IF(SAP!$A$7=4,VLOOKUP(A103,SAP!$1:$1048576,7,FALSE)))))</f>
        <v>Jednostka ster. 8 41 L PIN</v>
      </c>
      <c r="C103" s="6">
        <f>SUM(2,IF(D92&gt;=1061,1))</f>
        <v>3</v>
      </c>
      <c r="E103" s="6">
        <f t="shared" si="7"/>
        <v>3</v>
      </c>
    </row>
    <row r="104" spans="1:5" s="6" customFormat="1" hidden="1" x14ac:dyDescent="0.25">
      <c r="A104" s="6">
        <f>IF(B89=1,IF(C206=1,A212,IF(C206=2,A213)),IF(B89=2,0,IF(B89=3,IF(C206=1,A212,IF(C206=2,A213)))))</f>
        <v>762913</v>
      </c>
      <c r="B104" s="6" t="str">
        <f>IF(SAP!$A$7=1,VLOOKUP(A104,SAP!$1:$1048576,2,FALSE),IF(SAP!$A$7=2,VLOOKUP(A104,SAP!$1:$1048576,5,FALSE),IF(SAP!$A$7=3,VLOOKUP(A104,SAP!$1:$1048576,6,FALSE),IF(SAP!$A$7=4,VLOOKUP(A104,SAP!$1:$1048576,7,FALSE)))))</f>
        <v>Docisk środkowy 8 41 L PIN</v>
      </c>
      <c r="C104" s="6">
        <f>C212</f>
        <v>3</v>
      </c>
      <c r="E104" s="6">
        <f t="shared" si="7"/>
        <v>3</v>
      </c>
    </row>
    <row r="105" spans="1:5" s="6" customFormat="1" hidden="1" x14ac:dyDescent="0.25">
      <c r="A105" s="6">
        <f>IF(B89=1,A217,IF(B89=3,A217,IF(B89=2,0)))</f>
        <v>764350</v>
      </c>
      <c r="B105" s="6" t="str">
        <f>IF(SAP!$A$7=1,VLOOKUP(A105,SAP!$1:$1048576,2,FALSE),IF(SAP!$A$7=2,VLOOKUP(A105,SAP!$1:$1048576,5,FALSE),IF(SAP!$A$7=3,VLOOKUP(A105,SAP!$1:$1048576,6,FALSE),IF(SAP!$A$7=4,VLOOKUP(A105,SAP!$1:$1048576,7,FALSE)))))</f>
        <v>Zamkn. środkowe 1E NTN MV130 łączone</v>
      </c>
      <c r="C105" s="6">
        <f>C217</f>
        <v>4</v>
      </c>
      <c r="E105" s="6">
        <f t="shared" si="7"/>
        <v>4</v>
      </c>
    </row>
    <row r="106" spans="1:5" s="6" customFormat="1" hidden="1" x14ac:dyDescent="0.25">
      <c r="A106" s="6">
        <f>IF(B89=1,A221,IF(B89=2,0,IF(B89=3,A220)))</f>
        <v>809612</v>
      </c>
      <c r="B106" s="6" t="str">
        <f>IF(SAP!$A$7=1,VLOOKUP(A106,SAP!$1:$1048576,2,FALSE),IF(SAP!$A$7=2,VLOOKUP(A106,SAP!$1:$1048576,5,FALSE),IF(SAP!$A$7=3,VLOOKUP(A106,SAP!$1:$1048576,6,FALSE),IF(SAP!$A$7=4,VLOOKUP(A106,SAP!$1:$1048576,7,FALSE)))))</f>
        <v>Trzpień docisku środkowego 32.8 PIN Aluplast</v>
      </c>
      <c r="C106" s="6">
        <f>C219</f>
        <v>3</v>
      </c>
      <c r="E106" s="6">
        <f t="shared" si="7"/>
        <v>3</v>
      </c>
    </row>
    <row r="107" spans="1:5" s="6" customFormat="1" hidden="1" x14ac:dyDescent="0.25">
      <c r="A107" s="6">
        <f>IF(B89=1,A224,IF(B89=2,0,IF(B89=3,A224)))</f>
        <v>793493</v>
      </c>
      <c r="B107" s="6" t="str">
        <f>IF(SAP!$A$7=1,VLOOKUP(A107,SAP!$1:$1048576,2,FALSE),IF(SAP!$A$7=2,VLOOKUP(A107,SAP!$1:$1048576,5,FALSE),IF(SAP!$A$7=3,VLOOKUP(A107,SAP!$1:$1048576,6,FALSE),IF(SAP!$A$7=4,VLOOKUP(A107,SAP!$1:$1048576,7,FALSE)))))</f>
        <v>Zaczep docisku MV-SEB</v>
      </c>
      <c r="C107" s="6">
        <f>C224</f>
        <v>3</v>
      </c>
      <c r="E107" s="6">
        <f t="shared" si="7"/>
        <v>3</v>
      </c>
    </row>
    <row r="108" spans="1:5" s="6" customFormat="1" hidden="1" x14ac:dyDescent="0.25">
      <c r="A108" s="6">
        <f>IF(B89=1,D108,IF(B89=2,0,IF(B89=3,D108)))</f>
        <v>788175</v>
      </c>
      <c r="B108" s="6" t="str">
        <f>IF(SAP!$A$7=1,VLOOKUP(A108,SAP!$1:$1048576,2,FALSE),IF(SAP!$A$7=2,VLOOKUP(A108,SAP!$1:$1048576,5,FALSE),IF(SAP!$A$7=3,VLOOKUP(A108,SAP!$1:$1048576,6,FALSE),IF(SAP!$A$7=4,VLOOKUP(A108,SAP!$1:$1048576,7,FALSE)))))</f>
        <v>Zaczep blok.bł.obsługi drewno/PVC12.2PIN</v>
      </c>
      <c r="C108" s="6">
        <f>C227</f>
        <v>1</v>
      </c>
      <c r="D108" s="6">
        <f>IF(C92&gt;1001,A228,IF(C92&lt;=1000,0))</f>
        <v>788175</v>
      </c>
      <c r="E108" s="6">
        <f t="shared" si="7"/>
        <v>1</v>
      </c>
    </row>
    <row r="109" spans="1:5" s="6" customFormat="1" hidden="1" x14ac:dyDescent="0.25">
      <c r="A109" s="6">
        <f>IF(B89=1,A232,IF(B89=2,0,IF(B89=3,A232)))</f>
        <v>744579</v>
      </c>
      <c r="B109" s="6" t="str">
        <f>IF(SAP!$A$7=1,VLOOKUP(A109,SAP!$1:$1048576,2,FALSE),IF(SAP!$A$7=2,VLOOKUP(A109,SAP!$1:$1048576,5,FALSE),IF(SAP!$A$7=3,VLOOKUP(A109,SAP!$1:$1048576,6,FALSE),IF(SAP!$A$7=4,VLOOKUP(A109,SAP!$1:$1048576,7,FALSE)))))</f>
        <v>Zaczep p-wyw PVC 12.2 PIN</v>
      </c>
      <c r="C109" s="6">
        <f>E138</f>
        <v>3</v>
      </c>
      <c r="E109" s="6">
        <f t="shared" si="7"/>
        <v>3</v>
      </c>
    </row>
    <row r="110" spans="1:5" s="6" customFormat="1" hidden="1" x14ac:dyDescent="0.25">
      <c r="A110" s="6">
        <f>IF(B89=1,A236,IF(B89=2,0,IF(B89=3,A236)))</f>
        <v>635307</v>
      </c>
      <c r="B110" s="6" t="str">
        <f>IF(SAP!$A$7=1,VLOOKUP(A110,SAP!$1:$1048576,2,FALSE),IF(SAP!$A$7=2,VLOOKUP(A110,SAP!$1:$1048576,5,FALSE),IF(SAP!$A$7=3,VLOOKUP(A110,SAP!$1:$1048576,6,FALSE),IF(SAP!$A$7=4,VLOOKUP(A110,SAP!$1:$1048576,7,FALSE)))))</f>
        <v>Zderzak 14 PIN</v>
      </c>
      <c r="C110" s="6">
        <f>2</f>
        <v>2</v>
      </c>
      <c r="E110" s="6">
        <f t="shared" si="7"/>
        <v>2</v>
      </c>
    </row>
    <row r="111" spans="1:5" s="6" customFormat="1" hidden="1" x14ac:dyDescent="0.25">
      <c r="A111" s="6">
        <f>IF(B89=1,A240,IF(B89=2,0,IF(B89=3,A240)))</f>
        <v>800196</v>
      </c>
      <c r="B111" s="6" t="str">
        <f>IF(SAP!$A$7=1,VLOOKUP(A111,SAP!$1:$1048576,2,FALSE),IF(SAP!$A$7=2,VLOOKUP(A111,SAP!$1:$1048576,5,FALSE),IF(SAP!$A$7=3,VLOOKUP(A111,SAP!$1:$1048576,6,FALSE),IF(SAP!$A$7=4,VLOOKUP(A111,SAP!$1:$1048576,7,FALSE)))))</f>
        <v>Stoper do prowadnicy górnej PIN</v>
      </c>
      <c r="C111" s="6">
        <f>1</f>
        <v>1</v>
      </c>
      <c r="E111" s="6">
        <f t="shared" si="7"/>
        <v>1</v>
      </c>
    </row>
    <row r="112" spans="1:5" s="6" customFormat="1" hidden="1" x14ac:dyDescent="0.25">
      <c r="A112" s="6">
        <f>IF(B89=1,A241,IF(B89=2,0,IF(B89=3,A241)))</f>
        <v>800197</v>
      </c>
      <c r="B112" s="6" t="str">
        <f>IF(SAP!$A$7=1,VLOOKUP(A112,SAP!$1:$1048576,2,FALSE),IF(SAP!$A$7=2,VLOOKUP(A112,SAP!$1:$1048576,5,FALSE),IF(SAP!$A$7=3,VLOOKUP(A112,SAP!$1:$1048576,6,FALSE),IF(SAP!$A$7=4,VLOOKUP(A112,SAP!$1:$1048576,7,FALSE)))))</f>
        <v>El. dyst. stopera prowadnicy górnej PIN</v>
      </c>
      <c r="C112" s="6">
        <f>1</f>
        <v>1</v>
      </c>
      <c r="E112" s="6">
        <f t="shared" si="7"/>
        <v>1</v>
      </c>
    </row>
    <row r="113" spans="1:9" s="6" customFormat="1" hidden="1" x14ac:dyDescent="0.25">
      <c r="A113" s="6">
        <f>IF(B89=1,D113,IF(B89=2,0,IF(B89=3,D113)))</f>
        <v>819632</v>
      </c>
      <c r="B113" s="6" t="str">
        <f>IF(SAP!$A$7=1,VLOOKUP(A113,SAP!$1:$1048576,2,FALSE),IF(SAP!$A$7=2,VLOOKUP(A113,SAP!$1:$1048576,5,FALSE),IF(SAP!$A$7=3,VLOOKUP(A113,SAP!$1:$1048576,6,FALSE),IF(SAP!$A$7=4,VLOOKUP(A113,SAP!$1:$1048576,7,FALSE)))))</f>
        <v>Osłona MB R01.1 PIN</v>
      </c>
      <c r="C113" s="6">
        <f>C212</f>
        <v>3</v>
      </c>
      <c r="D113" s="6">
        <f>IF(E243=1,A243,IF(E243=2,A244,IF(E243=3,A245,IF(E243=4,A246))))</f>
        <v>819632</v>
      </c>
      <c r="E113" s="6">
        <f t="shared" si="7"/>
        <v>3</v>
      </c>
    </row>
    <row r="114" spans="1:9" s="6" customFormat="1" hidden="1" x14ac:dyDescent="0.25">
      <c r="A114" s="6">
        <f>IF(B89=1,D114,IF(B89=2,0,IF(B89=3,D114)))</f>
        <v>780551</v>
      </c>
      <c r="B114" s="6" t="str">
        <f>IF(SAP!$A$7=1,VLOOKUP(A114,SAP!$1:$1048576,2,FALSE),IF(SAP!$A$7=2,VLOOKUP(A114,SAP!$1:$1048576,5,FALSE),IF(SAP!$A$7=3,VLOOKUP(A114,SAP!$1:$1048576,6,FALSE),IF(SAP!$A$7=4,VLOOKUP(A114,SAP!$1:$1048576,7,FALSE)))))</f>
        <v>Klamka R-line 43mm 200 R01.1 ALV</v>
      </c>
      <c r="C114" s="6">
        <f>1</f>
        <v>1</v>
      </c>
      <c r="D114" s="6">
        <f>IF(G340&lt;&gt;0,G340,IF(G340=0,"niemożliwe"))</f>
        <v>780551</v>
      </c>
      <c r="E114" s="6">
        <f t="shared" si="7"/>
        <v>1</v>
      </c>
      <c r="I114" s="6" t="str">
        <f>IF(D81=2,SAP!A130,IF(D81&lt;&gt;2," "))</f>
        <v xml:space="preserve"> </v>
      </c>
    </row>
    <row r="115" spans="1:9" s="6" customFormat="1" hidden="1" x14ac:dyDescent="0.25">
      <c r="A115" s="5"/>
      <c r="B115" s="5" t="str">
        <f>IF(SAP!$A$7=1,VLOOKUP(A115,SAP!$1:$1048576,2,FALSE),IF(SAP!$A$7=2,VLOOKUP(A115,SAP!$1:$1048576,5,FALSE),IF(SAP!$A$7=3,VLOOKUP(A115,SAP!$1:$1048576,6,FALSE),IF(SAP!$A$7=4,VLOOKUP(A115,SAP!$1:$1048576,7,FALSE)))))</f>
        <v>__</v>
      </c>
      <c r="C115" s="5">
        <f>1</f>
        <v>1</v>
      </c>
      <c r="D115" s="5"/>
      <c r="E115" s="5">
        <f t="shared" si="7"/>
        <v>0</v>
      </c>
      <c r="F115" s="5"/>
      <c r="G115" s="5"/>
      <c r="H115" s="5"/>
      <c r="I115" s="5">
        <f>IF(B89=1,D369,IF(B89=2,0,IF(B89=3,D369)))</f>
        <v>494466</v>
      </c>
    </row>
    <row r="116" spans="1:9" s="6" customFormat="1" hidden="1" x14ac:dyDescent="0.25">
      <c r="A116" s="12">
        <f>IF(B89=1,D362,IF(B89=2,0,IF(B89=3,D362)))</f>
        <v>820028</v>
      </c>
      <c r="B116" s="6" t="str">
        <f>IF(SAP!$A$7=1,VLOOKUP(A116,SAP!$1:$1048576,2,FALSE),IF(SAP!$A$7=2,VLOOKUP(A116,SAP!$1:$1048576,5,FALSE),IF(SAP!$A$7=3,VLOOKUP(A116,SAP!$1:$1048576,6,FALSE),IF(SAP!$A$7=4,VLOOKUP(A116,SAP!$1:$1048576,7,FALSE)))))</f>
        <v>Pochwyt zlicowany 43mm R01.1 PIN</v>
      </c>
      <c r="C116" s="13">
        <f>IF(A116=0,0,IF(A116&lt;&gt;0,1))</f>
        <v>1</v>
      </c>
      <c r="E116" s="6">
        <f>IF(A116=0,0,IF(A116&lt;&gt;0,C116))</f>
        <v>1</v>
      </c>
    </row>
    <row r="117" spans="1:9" s="6" customFormat="1" hidden="1" x14ac:dyDescent="0.25">
      <c r="A117">
        <f>IF(A116=0,0,IF(A116&gt;0,A348))</f>
        <v>817180</v>
      </c>
      <c r="B117" s="6" t="str">
        <f>IF(SAP!$A$7=1,VLOOKUP(A117,SAP!$1:$1048576,2,FALSE),IF(SAP!$A$7=2,VLOOKUP(A117,SAP!$1:$1048576,5,FALSE),IF(SAP!$A$7=3,VLOOKUP(A117,SAP!$1:$1048576,6,FALSE),IF(SAP!$A$7=4,VLOOKUP(A117,SAP!$1:$1048576,7,FALSE)))))</f>
        <v>Zestaw śrub M5X70 (2szt.)</v>
      </c>
      <c r="C117" s="13">
        <f>IF(A117=0,0,IF(A117&lt;&gt;0,1))</f>
        <v>1</v>
      </c>
      <c r="E117" s="6">
        <f>IF(A117=0,0,IF(A117&lt;&gt;0,C117))</f>
        <v>1</v>
      </c>
    </row>
    <row r="118" spans="1:9" s="6" customFormat="1" hidden="1" x14ac:dyDescent="0.25">
      <c r="A118" s="6">
        <f>IF(B89=1,D371,IF(B89=3,D371,IF(B89=2,0)))</f>
        <v>0</v>
      </c>
      <c r="B118" s="6" t="str">
        <f>IF(SAP!$A$7=1,VLOOKUP(A118,SAP!$1:$1048576,2,FALSE),IF(SAP!$A$7=2,VLOOKUP(A118,SAP!$1:$1048576,5,FALSE),IF(SAP!$A$7=3,VLOOKUP(A118,SAP!$1:$1048576,6,FALSE),IF(SAP!$A$7=4,VLOOKUP(A118,SAP!$1:$1048576,7,FALSE)))))</f>
        <v>__</v>
      </c>
      <c r="C118" s="6">
        <f>3</f>
        <v>3</v>
      </c>
      <c r="E118" s="6">
        <f>IF(A118=0,0,IF(A118&lt;&gt;0,C118))</f>
        <v>0</v>
      </c>
    </row>
    <row r="119" spans="1:9" s="6" customFormat="1" hidden="1" x14ac:dyDescent="0.25">
      <c r="A119" s="6">
        <f>IF(B89=1,D372,IF(B89=3,D372,IF(B89=2,0)))</f>
        <v>0</v>
      </c>
      <c r="B119" s="6" t="str">
        <f>IF(SAP!$A$7=1,VLOOKUP(A119,SAP!$1:$1048576,2,FALSE),IF(SAP!$A$7=2,VLOOKUP(A119,SAP!$1:$1048576,5,FALSE),IF(SAP!$A$7=3,VLOOKUP(A119,SAP!$1:$1048576,6,FALSE),IF(SAP!$A$7=4,VLOOKUP(A119,SAP!$1:$1048576,7,FALSE)))))</f>
        <v>__</v>
      </c>
      <c r="C119" s="6">
        <f>C102</f>
        <v>3</v>
      </c>
      <c r="E119" s="6">
        <f>IF(A119=0,0,IF(A119&lt;&gt;0,C119))</f>
        <v>0</v>
      </c>
    </row>
    <row r="120" spans="1:9" s="6" customFormat="1" hidden="1" x14ac:dyDescent="0.25">
      <c r="A120" s="6">
        <f>IF(B89=2,0,IF(B89=1,0,IF(B89=3,0)))</f>
        <v>0</v>
      </c>
      <c r="B120" s="6" t="str">
        <f>IF(SAP!$A$7=1,VLOOKUP(A120,SAP!$1:$1048576,2,FALSE),IF(SAP!$A$7=2,VLOOKUP(A120,SAP!$1:$1048576,5,FALSE),IF(SAP!$A$7=3,VLOOKUP(A120,SAP!$1:$1048576,6,FALSE),IF(SAP!$A$7=4,VLOOKUP(A120,SAP!$1:$1048576,7,FALSE)))))</f>
        <v>__</v>
      </c>
      <c r="C120" s="6">
        <f>IF(B89=2,1,IF(B89=1,0,IF(B89=3,0)))</f>
        <v>0</v>
      </c>
      <c r="E120" s="6">
        <f t="shared" si="7"/>
        <v>0</v>
      </c>
    </row>
    <row r="121" spans="1:9" s="6" customFormat="1" hidden="1" x14ac:dyDescent="0.25">
      <c r="A121" s="6">
        <f>IF(B89=2,0,IF(B89=1,0,IF(B89=3,0)))</f>
        <v>0</v>
      </c>
      <c r="B121" s="6" t="str">
        <f>IF(SAP!$A$7=1,VLOOKUP(A121,SAP!$1:$1048576,2,FALSE),IF(SAP!$A$7=2,VLOOKUP(A121,SAP!$1:$1048576,5,FALSE),IF(SAP!$A$7=3,VLOOKUP(A121,SAP!$1:$1048576,6,FALSE),IF(SAP!$A$7=4,VLOOKUP(A121,SAP!$1:$1048576,7,FALSE)))))</f>
        <v>__</v>
      </c>
      <c r="C121" s="6">
        <f>IF(B89=2,1,IF(B89=1,0,IF(B89=3,0)))</f>
        <v>0</v>
      </c>
      <c r="E121" s="6">
        <f t="shared" si="7"/>
        <v>0</v>
      </c>
    </row>
    <row r="122" spans="1:9" s="6" customFormat="1" hidden="1" x14ac:dyDescent="0.25">
      <c r="A122" s="6">
        <f>IF(B89=2,0,IF(B89=1,0,IF(B89=3,0)))</f>
        <v>0</v>
      </c>
      <c r="B122" s="6" t="str">
        <f>IF(SAP!$A$7=1,VLOOKUP(A122,SAP!$1:$1048576,2,FALSE),IF(SAP!$A$7=2,VLOOKUP(A122,SAP!$1:$1048576,5,FALSE),IF(SAP!$A$7=3,VLOOKUP(A122,SAP!$1:$1048576,6,FALSE),IF(SAP!$A$7=4,VLOOKUP(A122,SAP!$1:$1048576,7,FALSE)))))</f>
        <v>__</v>
      </c>
      <c r="C122" s="14">
        <f>ROUNDUP(IF(B89=2,(((2*D92)+(3*C92))/2100),IF(B89=1,0)),0)</f>
        <v>0</v>
      </c>
      <c r="D122" s="15" t="s">
        <v>93</v>
      </c>
      <c r="E122" s="6">
        <f t="shared" si="7"/>
        <v>0</v>
      </c>
    </row>
    <row r="123" spans="1:9" s="6" customFormat="1" hidden="1" x14ac:dyDescent="0.25">
      <c r="A123" s="6">
        <f>IF(B89=2,0,IF(B89=1,0,IF(B89=3,0)))</f>
        <v>0</v>
      </c>
      <c r="B123" s="6" t="str">
        <f>IF(SAP!$A$7=1,VLOOKUP(A123,SAP!$1:$1048576,2,FALSE),IF(SAP!$A$7=2,VLOOKUP(A123,SAP!$1:$1048576,5,FALSE),IF(SAP!$A$7=3,VLOOKUP(A123,SAP!$1:$1048576,6,FALSE),IF(SAP!$A$7=4,VLOOKUP(A123,SAP!$1:$1048576,7,FALSE)))))</f>
        <v>__</v>
      </c>
      <c r="C123" s="14">
        <f>IF(B89=2,(C92/1000),IF(B89=1,0,IF(B89=3,0)))</f>
        <v>0</v>
      </c>
      <c r="D123" s="15" t="s">
        <v>92</v>
      </c>
      <c r="E123" s="6">
        <f t="shared" si="7"/>
        <v>0</v>
      </c>
    </row>
    <row r="124" spans="1:9" s="6" customFormat="1" hidden="1" x14ac:dyDescent="0.25"/>
    <row r="125" spans="1:9" s="6" customFormat="1" hidden="1" x14ac:dyDescent="0.25">
      <c r="C125" s="14"/>
    </row>
    <row r="126" spans="1:9" s="6" customFormat="1" hidden="1" x14ac:dyDescent="0.25">
      <c r="C126" s="14"/>
    </row>
    <row r="127" spans="1:9" s="6" customFormat="1" hidden="1" x14ac:dyDescent="0.25"/>
    <row r="128" spans="1:9" s="6" customFormat="1" hidden="1" x14ac:dyDescent="0.25"/>
    <row r="129" spans="1:13" s="6" customFormat="1" hidden="1" x14ac:dyDescent="0.25">
      <c r="C129" s="6" t="s">
        <v>3</v>
      </c>
      <c r="D129" s="6" t="s">
        <v>1</v>
      </c>
      <c r="E129" s="6" t="s">
        <v>2</v>
      </c>
      <c r="F129" s="16" t="s">
        <v>4</v>
      </c>
      <c r="G129" s="6" t="s">
        <v>5</v>
      </c>
      <c r="H129" s="6" t="s">
        <v>6</v>
      </c>
    </row>
    <row r="130" spans="1:13" s="6" customFormat="1" hidden="1" x14ac:dyDescent="0.25">
      <c r="A130" s="6">
        <f>SAP!A181</f>
        <v>785921</v>
      </c>
      <c r="B130" s="6" t="str">
        <f>SAP!B181</f>
        <v>Zasuwn. KSR 690/263 D50 PIN</v>
      </c>
      <c r="C130" s="6">
        <f>C92</f>
        <v>2237</v>
      </c>
      <c r="D130" s="6">
        <v>600</v>
      </c>
      <c r="E130" s="6">
        <v>800</v>
      </c>
      <c r="F130" s="16">
        <f t="shared" ref="F130:F136" si="8">IF(C130&lt;D130,0,IF(C130&lt;=E130,1,IF(C130&gt;E130,0)))</f>
        <v>0</v>
      </c>
      <c r="G130" s="6">
        <f t="shared" ref="G130:G136" si="9">A130*F130</f>
        <v>0</v>
      </c>
      <c r="H130" s="6">
        <v>0</v>
      </c>
      <c r="I130" s="6">
        <f t="shared" ref="I130:I136" si="10">F130*H130</f>
        <v>0</v>
      </c>
    </row>
    <row r="131" spans="1:13" s="6" customFormat="1" hidden="1" x14ac:dyDescent="0.25">
      <c r="A131" s="6">
        <f>SAP!A182</f>
        <v>785922</v>
      </c>
      <c r="B131" s="6" t="str">
        <f>SAP!B182</f>
        <v>Zasuwn. KSR 890/413 D50 PIN</v>
      </c>
      <c r="C131" s="6">
        <f>C130</f>
        <v>2237</v>
      </c>
      <c r="D131" s="6">
        <v>801</v>
      </c>
      <c r="E131" s="6">
        <v>1000</v>
      </c>
      <c r="F131" s="16">
        <f t="shared" si="8"/>
        <v>0</v>
      </c>
      <c r="G131" s="6">
        <f t="shared" si="9"/>
        <v>0</v>
      </c>
      <c r="H131" s="6">
        <v>0</v>
      </c>
      <c r="I131" s="6">
        <f t="shared" si="10"/>
        <v>0</v>
      </c>
    </row>
    <row r="132" spans="1:13" s="6" customFormat="1" hidden="1" x14ac:dyDescent="0.25">
      <c r="A132" s="6">
        <f>SAP!A183</f>
        <v>785923</v>
      </c>
      <c r="B132" s="6" t="str">
        <f>SAP!B183</f>
        <v>Zasuwn. KSR 1090/513 1V D50 PIN</v>
      </c>
      <c r="C132" s="6">
        <f>C130</f>
        <v>2237</v>
      </c>
      <c r="D132" s="6">
        <v>1001</v>
      </c>
      <c r="E132" s="6">
        <v>1200</v>
      </c>
      <c r="F132" s="16">
        <f t="shared" si="8"/>
        <v>0</v>
      </c>
      <c r="G132" s="6">
        <f t="shared" si="9"/>
        <v>0</v>
      </c>
      <c r="H132" s="6">
        <v>1</v>
      </c>
      <c r="I132" s="6">
        <f t="shared" si="10"/>
        <v>0</v>
      </c>
    </row>
    <row r="133" spans="1:13" s="6" customFormat="1" hidden="1" x14ac:dyDescent="0.25">
      <c r="A133" s="6">
        <f>SAP!A184</f>
        <v>785924</v>
      </c>
      <c r="B133" s="6" t="str">
        <f>SAP!B184</f>
        <v>Zasuwn. KSR 1290/563 1V D50 PIN</v>
      </c>
      <c r="C133" s="6">
        <f>C130</f>
        <v>2237</v>
      </c>
      <c r="D133" s="6">
        <v>1201</v>
      </c>
      <c r="E133" s="6">
        <v>1600</v>
      </c>
      <c r="F133" s="16">
        <f t="shared" si="8"/>
        <v>0</v>
      </c>
      <c r="G133" s="6">
        <f t="shared" si="9"/>
        <v>0</v>
      </c>
      <c r="H133" s="6">
        <v>1</v>
      </c>
      <c r="I133" s="6">
        <f t="shared" si="10"/>
        <v>0</v>
      </c>
    </row>
    <row r="134" spans="1:13" s="6" customFormat="1" hidden="1" x14ac:dyDescent="0.25">
      <c r="A134" s="6">
        <f>SAP!A185</f>
        <v>785926</v>
      </c>
      <c r="B134" s="6" t="str">
        <f>SAP!B185</f>
        <v>Zasuwn. KSR 1690/563 1V D50 PIN</v>
      </c>
      <c r="C134" s="6">
        <f>C130</f>
        <v>2237</v>
      </c>
      <c r="D134" s="6">
        <v>1601</v>
      </c>
      <c r="E134" s="6">
        <v>1800</v>
      </c>
      <c r="F134" s="16">
        <f t="shared" si="8"/>
        <v>0</v>
      </c>
      <c r="G134" s="6">
        <f t="shared" si="9"/>
        <v>0</v>
      </c>
      <c r="H134" s="6">
        <v>1</v>
      </c>
      <c r="I134" s="6">
        <f t="shared" si="10"/>
        <v>0</v>
      </c>
    </row>
    <row r="135" spans="1:13" s="6" customFormat="1" hidden="1" x14ac:dyDescent="0.25">
      <c r="A135" s="6">
        <f>SAP!A186</f>
        <v>785927</v>
      </c>
      <c r="B135" s="6" t="str">
        <f>SAP!B186</f>
        <v>Zasuwn. KSR 1890/1000 2V D50 PIN</v>
      </c>
      <c r="C135" s="6">
        <f>C130</f>
        <v>2237</v>
      </c>
      <c r="D135" s="6">
        <v>1801</v>
      </c>
      <c r="E135" s="6">
        <v>2400</v>
      </c>
      <c r="F135" s="16">
        <f t="shared" si="8"/>
        <v>1</v>
      </c>
      <c r="G135" s="6">
        <f t="shared" si="9"/>
        <v>785927</v>
      </c>
      <c r="H135" s="6">
        <v>2</v>
      </c>
      <c r="I135" s="6">
        <f t="shared" si="10"/>
        <v>2</v>
      </c>
    </row>
    <row r="136" spans="1:13" s="6" customFormat="1" hidden="1" x14ac:dyDescent="0.25">
      <c r="A136" s="6">
        <f>SAP!A187</f>
        <v>785929</v>
      </c>
      <c r="B136" s="6" t="str">
        <f>SAP!B187</f>
        <v>Zasuwn. KSR 2290/1000 2V D50 PIN</v>
      </c>
      <c r="C136" s="6">
        <f>C130</f>
        <v>2237</v>
      </c>
      <c r="D136" s="6">
        <v>2401</v>
      </c>
      <c r="E136" s="6">
        <v>2500</v>
      </c>
      <c r="F136" s="16">
        <f t="shared" si="8"/>
        <v>0</v>
      </c>
      <c r="G136" s="6">
        <f t="shared" si="9"/>
        <v>0</v>
      </c>
      <c r="H136" s="6">
        <v>2</v>
      </c>
      <c r="I136" s="6">
        <f t="shared" si="10"/>
        <v>0</v>
      </c>
    </row>
    <row r="137" spans="1:13" s="6" customFormat="1" hidden="1" x14ac:dyDescent="0.25">
      <c r="A137" s="6" t="s">
        <v>28</v>
      </c>
      <c r="F137" s="17">
        <f>SUM(F130:F136)</f>
        <v>1</v>
      </c>
      <c r="G137" s="11">
        <f>SUM(G130:G136)</f>
        <v>785927</v>
      </c>
      <c r="I137" s="18">
        <f>SUM(I130:I136)</f>
        <v>2</v>
      </c>
    </row>
    <row r="138" spans="1:13" s="6" customFormat="1" hidden="1" x14ac:dyDescent="0.25">
      <c r="B138" s="5" t="str">
        <f>SAP!A108</f>
        <v>Zasuwnica  bez wkładki bębenkowej</v>
      </c>
      <c r="C138" s="11">
        <f>IF(C140=1,G137,IF(C140=2,G146))</f>
        <v>785927</v>
      </c>
      <c r="D138" s="6" t="s">
        <v>52</v>
      </c>
      <c r="E138" s="11">
        <f>IF(C140=1,I137+2,IF(C140=2,I146+2))-C108</f>
        <v>3</v>
      </c>
    </row>
    <row r="139" spans="1:13" s="6" customFormat="1" hidden="1" x14ac:dyDescent="0.25">
      <c r="B139" s="5" t="str">
        <f>SAP!A109</f>
        <v>Zasuwnica z dodatkową wkładką bębenkową</v>
      </c>
      <c r="C139" s="5"/>
    </row>
    <row r="140" spans="1:13" s="6" customFormat="1" hidden="1" x14ac:dyDescent="0.25">
      <c r="C140" s="11">
        <v>1</v>
      </c>
      <c r="J140" s="6" t="b">
        <f>IF(C140=2,1)</f>
        <v>0</v>
      </c>
      <c r="K140" s="6">
        <f>IF(C92&lt;=1800,1,IF(C92&gt;=1801,0))</f>
        <v>0</v>
      </c>
      <c r="L140" s="6">
        <f>K140*J140</f>
        <v>0</v>
      </c>
      <c r="M140" s="6" t="str">
        <f>IF(L140=0,"",IF(L140=1,"Uwaga! Zasuwnica z dodatkową wkładką tylko dla FFH powyżej 1801mm"))</f>
        <v/>
      </c>
    </row>
    <row r="141" spans="1:13" s="6" customFormat="1" hidden="1" x14ac:dyDescent="0.25">
      <c r="C141" s="6" t="s">
        <v>3</v>
      </c>
      <c r="D141" s="6" t="s">
        <v>1</v>
      </c>
      <c r="E141" s="6" t="s">
        <v>2</v>
      </c>
      <c r="F141" s="16" t="s">
        <v>4</v>
      </c>
      <c r="G141" s="6" t="s">
        <v>5</v>
      </c>
      <c r="H141" s="6" t="s">
        <v>6</v>
      </c>
    </row>
    <row r="142" spans="1:13" s="6" customFormat="1" hidden="1" x14ac:dyDescent="0.25">
      <c r="A142" s="6">
        <v>798218</v>
      </c>
      <c r="B142" s="6" t="str">
        <f>VLOOKUP(A142,SAP!1:1048576,2,FALSE)</f>
        <v>Zasuwn. KSR +PZ 1890/1000 2V D50 PIN</v>
      </c>
      <c r="C142" s="6">
        <f>C92</f>
        <v>2237</v>
      </c>
      <c r="D142" s="6">
        <v>1801</v>
      </c>
      <c r="E142" s="6">
        <v>2000</v>
      </c>
      <c r="F142" s="16">
        <f>IF(C142&lt;D142,0,IF(C142&lt;=E142,1,IF(C142&gt;E142,0)))</f>
        <v>0</v>
      </c>
      <c r="G142" s="6">
        <f>A142*F142</f>
        <v>0</v>
      </c>
      <c r="H142" s="6">
        <v>2</v>
      </c>
      <c r="I142" s="6">
        <f>F142*H142</f>
        <v>0</v>
      </c>
    </row>
    <row r="143" spans="1:13" s="6" customFormat="1" hidden="1" x14ac:dyDescent="0.25">
      <c r="A143" s="6">
        <v>798218</v>
      </c>
      <c r="B143" s="6" t="str">
        <f>VLOOKUP(A143,SAP!1:1048576,2,FALSE)</f>
        <v>Zasuwn. KSR +PZ 1890/1000 2V D50 PIN</v>
      </c>
      <c r="C143" s="6">
        <f>C142</f>
        <v>2237</v>
      </c>
      <c r="D143" s="6">
        <v>2001</v>
      </c>
      <c r="E143" s="6">
        <v>2200</v>
      </c>
      <c r="F143" s="16">
        <f>IF(C143&lt;D143,0,IF(C143&lt;=E143,1,IF(C143&gt;E143,0)))</f>
        <v>0</v>
      </c>
      <c r="G143" s="6">
        <f>A143*F143</f>
        <v>0</v>
      </c>
      <c r="H143" s="6">
        <v>2</v>
      </c>
      <c r="I143" s="6">
        <f>F143*H143</f>
        <v>0</v>
      </c>
    </row>
    <row r="144" spans="1:13" s="6" customFormat="1" hidden="1" x14ac:dyDescent="0.25">
      <c r="A144" s="6">
        <v>798218</v>
      </c>
      <c r="B144" s="6" t="str">
        <f>VLOOKUP(A144,SAP!1:1048576,2,FALSE)</f>
        <v>Zasuwn. KSR +PZ 1890/1000 2V D50 PIN</v>
      </c>
      <c r="C144" s="6">
        <f>C142</f>
        <v>2237</v>
      </c>
      <c r="D144" s="6">
        <v>2201</v>
      </c>
      <c r="E144" s="6">
        <v>2400</v>
      </c>
      <c r="F144" s="16">
        <f>IF(C144&lt;D144,0,IF(C144&lt;=E144,1,IF(C144&gt;E144,0)))</f>
        <v>1</v>
      </c>
      <c r="G144" s="6">
        <f>A144*F144</f>
        <v>798218</v>
      </c>
      <c r="H144" s="6">
        <v>2</v>
      </c>
      <c r="I144" s="6">
        <f>F144*H144</f>
        <v>2</v>
      </c>
    </row>
    <row r="145" spans="1:9" s="6" customFormat="1" hidden="1" x14ac:dyDescent="0.25">
      <c r="A145" s="6">
        <v>798219</v>
      </c>
      <c r="B145" s="6" t="str">
        <f>VLOOKUP(A145,SAP!1:1048576,2,FALSE)</f>
        <v>Zasuwn. KSR +PZ 2290/1000 2V D50 PIN</v>
      </c>
      <c r="C145" s="6">
        <f>C142</f>
        <v>2237</v>
      </c>
      <c r="D145" s="6">
        <v>2401</v>
      </c>
      <c r="E145" s="6">
        <v>2500</v>
      </c>
      <c r="F145" s="16">
        <f>IF(C145&lt;D145,0,IF(C145&lt;=E145,1,IF(C145&gt;E145,0)))</f>
        <v>0</v>
      </c>
      <c r="G145" s="6">
        <f>A145*F145</f>
        <v>0</v>
      </c>
      <c r="H145" s="6">
        <v>2</v>
      </c>
      <c r="I145" s="6">
        <f>F145*H145</f>
        <v>0</v>
      </c>
    </row>
    <row r="146" spans="1:9" s="6" customFormat="1" hidden="1" x14ac:dyDescent="0.25">
      <c r="A146" s="6" t="s">
        <v>27</v>
      </c>
      <c r="F146" s="17">
        <f>SUM(F142:F145)</f>
        <v>1</v>
      </c>
      <c r="G146" s="11">
        <f>SUM(G142:G145)</f>
        <v>798218</v>
      </c>
      <c r="I146" s="18">
        <f>SUM(I142:I145)</f>
        <v>2</v>
      </c>
    </row>
    <row r="147" spans="1:9" s="6" customFormat="1" hidden="1" x14ac:dyDescent="0.25">
      <c r="C147" s="6" t="s">
        <v>3</v>
      </c>
      <c r="D147" s="6" t="s">
        <v>1</v>
      </c>
      <c r="E147" s="6" t="s">
        <v>2</v>
      </c>
      <c r="F147" s="16" t="s">
        <v>4</v>
      </c>
      <c r="G147" s="6" t="s">
        <v>5</v>
      </c>
      <c r="H147" s="6" t="s">
        <v>6</v>
      </c>
    </row>
    <row r="148" spans="1:9" s="6" customFormat="1" hidden="1" x14ac:dyDescent="0.25">
      <c r="A148" s="6">
        <v>799045</v>
      </c>
      <c r="B148" s="6" t="s">
        <v>210</v>
      </c>
      <c r="C148" s="6">
        <f>C92</f>
        <v>2237</v>
      </c>
      <c r="D148" s="6">
        <v>600</v>
      </c>
      <c r="E148" s="6">
        <v>800</v>
      </c>
      <c r="F148" s="16">
        <f t="shared" ref="F148:F154" si="11">IF(C148&lt;D148,0,IF(C148&lt;=E148,1,IF(C148&gt;E148,0)))</f>
        <v>0</v>
      </c>
      <c r="G148" s="6">
        <f t="shared" ref="G148:G154" si="12">A148*F148</f>
        <v>0</v>
      </c>
      <c r="H148" s="6">
        <v>0</v>
      </c>
      <c r="I148" s="6">
        <f t="shared" ref="I148:I154" si="13">F148*H148</f>
        <v>0</v>
      </c>
    </row>
    <row r="149" spans="1:9" s="6" customFormat="1" hidden="1" x14ac:dyDescent="0.25">
      <c r="A149" s="6">
        <v>798027</v>
      </c>
      <c r="B149" s="6" t="s">
        <v>211</v>
      </c>
      <c r="C149" s="6">
        <f>C148</f>
        <v>2237</v>
      </c>
      <c r="D149" s="6">
        <v>801</v>
      </c>
      <c r="E149" s="6">
        <v>1000</v>
      </c>
      <c r="F149" s="16">
        <f t="shared" si="11"/>
        <v>0</v>
      </c>
      <c r="G149" s="6">
        <f t="shared" si="12"/>
        <v>0</v>
      </c>
      <c r="H149" s="6">
        <v>0</v>
      </c>
      <c r="I149" s="6">
        <f t="shared" si="13"/>
        <v>0</v>
      </c>
    </row>
    <row r="150" spans="1:9" s="6" customFormat="1" hidden="1" x14ac:dyDescent="0.25">
      <c r="A150" s="6">
        <v>798028</v>
      </c>
      <c r="B150" s="6" t="s">
        <v>212</v>
      </c>
      <c r="C150" s="6">
        <f>C148</f>
        <v>2237</v>
      </c>
      <c r="D150" s="6">
        <v>1001</v>
      </c>
      <c r="E150" s="6">
        <v>1200</v>
      </c>
      <c r="F150" s="16">
        <f t="shared" si="11"/>
        <v>0</v>
      </c>
      <c r="G150" s="6">
        <f t="shared" si="12"/>
        <v>0</v>
      </c>
      <c r="H150" s="6">
        <v>1</v>
      </c>
      <c r="I150" s="6">
        <f t="shared" si="13"/>
        <v>0</v>
      </c>
    </row>
    <row r="151" spans="1:9" s="6" customFormat="1" hidden="1" x14ac:dyDescent="0.25">
      <c r="A151" s="6">
        <v>798030</v>
      </c>
      <c r="B151" s="6" t="s">
        <v>213</v>
      </c>
      <c r="C151" s="6">
        <f>C148</f>
        <v>2237</v>
      </c>
      <c r="D151" s="6">
        <v>1201</v>
      </c>
      <c r="E151" s="6">
        <v>1600</v>
      </c>
      <c r="F151" s="16">
        <f t="shared" si="11"/>
        <v>0</v>
      </c>
      <c r="G151" s="6">
        <f t="shared" si="12"/>
        <v>0</v>
      </c>
      <c r="H151" s="6">
        <v>1</v>
      </c>
      <c r="I151" s="6">
        <f t="shared" si="13"/>
        <v>0</v>
      </c>
    </row>
    <row r="152" spans="1:9" s="6" customFormat="1" hidden="1" x14ac:dyDescent="0.25">
      <c r="A152" s="6">
        <v>798031</v>
      </c>
      <c r="B152" s="6" t="s">
        <v>214</v>
      </c>
      <c r="C152" s="6">
        <f>C148</f>
        <v>2237</v>
      </c>
      <c r="D152" s="6">
        <v>1601</v>
      </c>
      <c r="E152" s="6">
        <v>1800</v>
      </c>
      <c r="F152" s="16">
        <f t="shared" si="11"/>
        <v>0</v>
      </c>
      <c r="G152" s="6">
        <f t="shared" si="12"/>
        <v>0</v>
      </c>
      <c r="H152" s="6">
        <v>1</v>
      </c>
      <c r="I152" s="6">
        <f t="shared" si="13"/>
        <v>0</v>
      </c>
    </row>
    <row r="153" spans="1:9" s="6" customFormat="1" hidden="1" x14ac:dyDescent="0.25">
      <c r="A153" s="6">
        <v>798032</v>
      </c>
      <c r="B153" s="6" t="s">
        <v>215</v>
      </c>
      <c r="C153" s="6">
        <f>C148</f>
        <v>2237</v>
      </c>
      <c r="D153" s="6">
        <v>1801</v>
      </c>
      <c r="E153" s="6">
        <v>2400</v>
      </c>
      <c r="F153" s="16">
        <f t="shared" si="11"/>
        <v>1</v>
      </c>
      <c r="G153" s="6">
        <f t="shared" si="12"/>
        <v>798032</v>
      </c>
      <c r="H153" s="6">
        <v>2</v>
      </c>
      <c r="I153" s="6">
        <f t="shared" si="13"/>
        <v>2</v>
      </c>
    </row>
    <row r="154" spans="1:9" s="6" customFormat="1" hidden="1" x14ac:dyDescent="0.25">
      <c r="A154" s="6">
        <v>798033</v>
      </c>
      <c r="B154" s="6" t="s">
        <v>216</v>
      </c>
      <c r="C154" s="6">
        <f>C148</f>
        <v>2237</v>
      </c>
      <c r="D154" s="6">
        <v>2401</v>
      </c>
      <c r="E154" s="6">
        <v>2500</v>
      </c>
      <c r="F154" s="16">
        <f t="shared" si="11"/>
        <v>0</v>
      </c>
      <c r="G154" s="6">
        <f t="shared" si="12"/>
        <v>0</v>
      </c>
      <c r="H154" s="6">
        <v>2</v>
      </c>
      <c r="I154" s="6">
        <f t="shared" si="13"/>
        <v>0</v>
      </c>
    </row>
    <row r="155" spans="1:9" s="6" customFormat="1" hidden="1" x14ac:dyDescent="0.25">
      <c r="F155" s="17">
        <f>SUM(F148:F154)</f>
        <v>1</v>
      </c>
      <c r="G155" s="11">
        <f>SUM(G148:G154)</f>
        <v>798032</v>
      </c>
      <c r="I155" s="18">
        <f>SUM(I148:I154)</f>
        <v>2</v>
      </c>
    </row>
    <row r="156" spans="1:9" s="6" customFormat="1" hidden="1" x14ac:dyDescent="0.25">
      <c r="C156" s="11">
        <f>IF(C140=1,G155,IF(C140=2,G164))</f>
        <v>798032</v>
      </c>
      <c r="D156" s="6" t="s">
        <v>52</v>
      </c>
      <c r="E156" s="11"/>
    </row>
    <row r="157" spans="1:9" s="6" customFormat="1" hidden="1" x14ac:dyDescent="0.25">
      <c r="C157" s="5"/>
    </row>
    <row r="158" spans="1:9" s="6" customFormat="1" hidden="1" x14ac:dyDescent="0.25">
      <c r="C158" s="11"/>
    </row>
    <row r="159" spans="1:9" s="6" customFormat="1" hidden="1" x14ac:dyDescent="0.25">
      <c r="C159" s="6" t="s">
        <v>3</v>
      </c>
      <c r="D159" s="6" t="s">
        <v>1</v>
      </c>
      <c r="E159" s="6" t="s">
        <v>2</v>
      </c>
      <c r="F159" s="16" t="s">
        <v>4</v>
      </c>
      <c r="G159" s="6" t="s">
        <v>5</v>
      </c>
      <c r="H159" s="6" t="s">
        <v>6</v>
      </c>
    </row>
    <row r="160" spans="1:9" s="6" customFormat="1" hidden="1" x14ac:dyDescent="0.25">
      <c r="A160" s="6">
        <v>798034</v>
      </c>
      <c r="B160" s="6" t="s">
        <v>217</v>
      </c>
      <c r="C160" s="6">
        <f>C92</f>
        <v>2237</v>
      </c>
      <c r="D160" s="6">
        <v>1801</v>
      </c>
      <c r="E160" s="6">
        <v>2000</v>
      </c>
      <c r="F160" s="16">
        <f>IF(C160&lt;D160,0,IF(C160&lt;=E160,1,IF(C160&gt;E160,0)))</f>
        <v>0</v>
      </c>
      <c r="G160" s="6">
        <f>A160*F160</f>
        <v>0</v>
      </c>
      <c r="H160" s="6">
        <v>2</v>
      </c>
      <c r="I160" s="6">
        <f>F160*H160</f>
        <v>0</v>
      </c>
    </row>
    <row r="161" spans="1:9" s="6" customFormat="1" hidden="1" x14ac:dyDescent="0.25">
      <c r="A161" s="6">
        <v>798034</v>
      </c>
      <c r="B161" s="6" t="s">
        <v>217</v>
      </c>
      <c r="C161" s="6">
        <f>C160</f>
        <v>2237</v>
      </c>
      <c r="D161" s="6">
        <v>2001</v>
      </c>
      <c r="E161" s="6">
        <v>2200</v>
      </c>
      <c r="F161" s="16">
        <f>IF(C161&lt;D161,0,IF(C161&lt;=E161,1,IF(C161&gt;E161,0)))</f>
        <v>0</v>
      </c>
      <c r="G161" s="6">
        <f>A161*F161</f>
        <v>0</v>
      </c>
      <c r="H161" s="6">
        <v>2</v>
      </c>
      <c r="I161" s="6">
        <f>F161*H161</f>
        <v>0</v>
      </c>
    </row>
    <row r="162" spans="1:9" s="6" customFormat="1" hidden="1" x14ac:dyDescent="0.25">
      <c r="A162" s="6">
        <v>798034</v>
      </c>
      <c r="B162" s="6" t="s">
        <v>217</v>
      </c>
      <c r="C162" s="6">
        <f>C160</f>
        <v>2237</v>
      </c>
      <c r="D162" s="6">
        <v>2201</v>
      </c>
      <c r="E162" s="6">
        <v>2400</v>
      </c>
      <c r="F162" s="16">
        <f>IF(C162&lt;D162,0,IF(C162&lt;=E162,1,IF(C162&gt;E162,0)))</f>
        <v>1</v>
      </c>
      <c r="G162" s="6">
        <f>A162*F162</f>
        <v>798034</v>
      </c>
      <c r="H162" s="6">
        <v>2</v>
      </c>
      <c r="I162" s="6">
        <f>F162*H162</f>
        <v>2</v>
      </c>
    </row>
    <row r="163" spans="1:9" s="6" customFormat="1" hidden="1" x14ac:dyDescent="0.25">
      <c r="A163" s="6">
        <v>798055</v>
      </c>
      <c r="B163" s="6" t="s">
        <v>218</v>
      </c>
      <c r="C163" s="6">
        <f>C160</f>
        <v>2237</v>
      </c>
      <c r="D163" s="6">
        <v>2401</v>
      </c>
      <c r="E163" s="6">
        <v>2500</v>
      </c>
      <c r="F163" s="16">
        <f>IF(C163&lt;D163,0,IF(C163&lt;=E163,1,IF(C163&gt;E163,0)))</f>
        <v>0</v>
      </c>
      <c r="G163" s="6">
        <f>A163*F163</f>
        <v>0</v>
      </c>
      <c r="H163" s="6">
        <v>2</v>
      </c>
      <c r="I163" s="6">
        <f>F163*H163</f>
        <v>0</v>
      </c>
    </row>
    <row r="164" spans="1:9" s="6" customFormat="1" hidden="1" x14ac:dyDescent="0.25">
      <c r="F164" s="17">
        <f>SUM(F160:F163)</f>
        <v>1</v>
      </c>
      <c r="G164" s="11">
        <f>SUM(G160:G163)</f>
        <v>798034</v>
      </c>
      <c r="I164" s="18">
        <f>SUM(I160:I163)</f>
        <v>2</v>
      </c>
    </row>
    <row r="165" spans="1:9" s="6" customFormat="1" hidden="1" x14ac:dyDescent="0.25">
      <c r="I165" s="19"/>
    </row>
    <row r="166" spans="1:9" s="6" customFormat="1" hidden="1" x14ac:dyDescent="0.25">
      <c r="I166" s="19"/>
    </row>
    <row r="167" spans="1:9" s="6" customFormat="1" hidden="1" x14ac:dyDescent="0.25">
      <c r="I167" s="19"/>
    </row>
    <row r="168" spans="1:9" s="6" customFormat="1" hidden="1" x14ac:dyDescent="0.25">
      <c r="I168" s="19"/>
    </row>
    <row r="169" spans="1:9" s="6" customFormat="1" hidden="1" x14ac:dyDescent="0.25">
      <c r="I169" s="19"/>
    </row>
    <row r="170" spans="1:9" s="6" customFormat="1" hidden="1" x14ac:dyDescent="0.25">
      <c r="C170" s="6" t="s">
        <v>3</v>
      </c>
      <c r="D170" s="6" t="s">
        <v>1</v>
      </c>
      <c r="E170" s="6" t="s">
        <v>2</v>
      </c>
      <c r="F170" s="16" t="s">
        <v>4</v>
      </c>
      <c r="G170" s="6" t="s">
        <v>5</v>
      </c>
      <c r="I170" s="19"/>
    </row>
    <row r="171" spans="1:9" s="6" customFormat="1" hidden="1" x14ac:dyDescent="0.25">
      <c r="A171" s="6">
        <v>308267</v>
      </c>
      <c r="B171" s="6" t="str">
        <f>VLOOKUP(A171,SAP!1:1048576,2,FALSE)</f>
        <v>Zamkn. środ. 200 łącz NTi</v>
      </c>
      <c r="C171" s="6">
        <f>C92</f>
        <v>2237</v>
      </c>
      <c r="D171" s="6">
        <v>1401</v>
      </c>
      <c r="E171" s="6">
        <v>1600</v>
      </c>
      <c r="F171" s="16">
        <f>IF(C171&lt;D171,0,IF(C171&lt;=E171,1,IF(C171&gt;E171,0)))</f>
        <v>0</v>
      </c>
      <c r="G171" s="6">
        <f>A171*F171</f>
        <v>0</v>
      </c>
      <c r="I171" s="19"/>
    </row>
    <row r="172" spans="1:9" s="6" customFormat="1" hidden="1" x14ac:dyDescent="0.25">
      <c r="A172" s="6">
        <v>308267</v>
      </c>
      <c r="B172" s="6" t="str">
        <f>VLOOKUP(A172,'Schemat A'!1:1048576,2,FALSE)</f>
        <v>Zamkn. środ. 200 łącz NTi</v>
      </c>
      <c r="C172" s="6">
        <f>C92</f>
        <v>2237</v>
      </c>
      <c r="D172" s="6">
        <v>2001</v>
      </c>
      <c r="E172" s="6">
        <v>2200</v>
      </c>
      <c r="F172" s="16">
        <f>IF(C172&lt;D172,0,IF(C172&lt;=E172,1,IF(C172&gt;E172,0)))</f>
        <v>0</v>
      </c>
      <c r="G172" s="6">
        <f>A172*F172</f>
        <v>0</v>
      </c>
      <c r="I172" s="19"/>
    </row>
    <row r="173" spans="1:9" s="6" customFormat="1" hidden="1" x14ac:dyDescent="0.25">
      <c r="A173" s="6">
        <v>297858</v>
      </c>
      <c r="B173" s="6" t="str">
        <f>VLOOKUP(A173,SAP!1:1048576,2,FALSE)</f>
        <v>Przedłużka zasuwn. NT MV400 bez zaczepu</v>
      </c>
      <c r="C173" s="6">
        <f>C92</f>
        <v>2237</v>
      </c>
      <c r="D173" s="6">
        <v>2201</v>
      </c>
      <c r="E173" s="6">
        <v>2400</v>
      </c>
      <c r="F173" s="16">
        <f>IF(C173&lt;D173,0,IF(C173&lt;=E173,1,IF(C173&gt;E173,0)))</f>
        <v>1</v>
      </c>
      <c r="G173" s="6">
        <f>A173*F173</f>
        <v>297858</v>
      </c>
      <c r="I173" s="19"/>
    </row>
    <row r="174" spans="1:9" s="6" customFormat="1" hidden="1" x14ac:dyDescent="0.25">
      <c r="A174" s="6">
        <v>308267</v>
      </c>
      <c r="B174" s="6" t="str">
        <f>VLOOKUP(A174,SAP!1:1048576,2,FALSE)</f>
        <v>Zamkn. środ. 200 łącz NTi</v>
      </c>
      <c r="C174" s="6">
        <f>C92</f>
        <v>2237</v>
      </c>
      <c r="D174" s="6">
        <v>2401</v>
      </c>
      <c r="E174" s="6">
        <v>2500</v>
      </c>
      <c r="F174" s="16">
        <f>IF(C174&lt;D174,0,IF(C174&lt;=E174,1,IF(C174&gt;E174,0)))</f>
        <v>0</v>
      </c>
      <c r="G174" s="6">
        <f>A174*F174</f>
        <v>0</v>
      </c>
      <c r="I174" s="19"/>
    </row>
    <row r="175" spans="1:9" s="6" customFormat="1" hidden="1" x14ac:dyDescent="0.25">
      <c r="F175" s="17">
        <f>SUM(F171:F174)</f>
        <v>1</v>
      </c>
      <c r="G175" s="11">
        <f>SUM(G171:G174)</f>
        <v>297858</v>
      </c>
      <c r="I175" s="19"/>
    </row>
    <row r="176" spans="1:9" s="6" customFormat="1" hidden="1" x14ac:dyDescent="0.25">
      <c r="I176" s="19"/>
    </row>
    <row r="177" spans="1:21" s="6" customFormat="1" hidden="1" x14ac:dyDescent="0.25">
      <c r="C177" s="6" t="s">
        <v>0</v>
      </c>
      <c r="D177" s="6" t="s">
        <v>1</v>
      </c>
      <c r="E177" s="6" t="s">
        <v>2</v>
      </c>
      <c r="F177" s="16" t="s">
        <v>4</v>
      </c>
      <c r="G177" s="6" t="s">
        <v>5</v>
      </c>
      <c r="H177" s="6" t="s">
        <v>6</v>
      </c>
    </row>
    <row r="178" spans="1:21" s="6" customFormat="1" hidden="1" x14ac:dyDescent="0.25">
      <c r="A178" s="6">
        <v>572665</v>
      </c>
      <c r="B178" s="6" t="str">
        <f>VLOOKUP(A178,SAP!1:1048576,2,FALSE)</f>
        <v>Łącznik M 344 1V NT</v>
      </c>
      <c r="C178" s="6">
        <f>D92</f>
        <v>1425</v>
      </c>
      <c r="D178" s="6">
        <v>710</v>
      </c>
      <c r="E178" s="6">
        <v>760</v>
      </c>
      <c r="F178" s="16">
        <f t="shared" ref="F178:F183" si="14">IF(C178&lt;D178,0,IF(C178&lt;=E178,1,IF(C178&gt;E178,0)))</f>
        <v>0</v>
      </c>
      <c r="G178" s="6">
        <f t="shared" ref="G178:G183" si="15">A178*F178</f>
        <v>0</v>
      </c>
      <c r="H178" s="6">
        <v>1</v>
      </c>
      <c r="I178" s="6">
        <f t="shared" ref="I178:I183" si="16">H178*F178</f>
        <v>0</v>
      </c>
    </row>
    <row r="179" spans="1:21" s="6" customFormat="1" hidden="1" x14ac:dyDescent="0.25">
      <c r="A179" s="6">
        <v>245729</v>
      </c>
      <c r="B179" s="6" t="str">
        <f>VLOOKUP(A179,SAP!1:1048576,2,FALSE)</f>
        <v>Zamkn.śr.okien łuk. NT 501-700</v>
      </c>
      <c r="C179" s="6">
        <f>C178</f>
        <v>1425</v>
      </c>
      <c r="D179" s="6">
        <v>761</v>
      </c>
      <c r="E179" s="6">
        <v>860</v>
      </c>
      <c r="F179" s="16">
        <f t="shared" si="14"/>
        <v>0</v>
      </c>
      <c r="G179" s="6">
        <f t="shared" si="15"/>
        <v>0</v>
      </c>
      <c r="H179" s="6">
        <v>0</v>
      </c>
      <c r="I179" s="6">
        <f t="shared" si="16"/>
        <v>0</v>
      </c>
    </row>
    <row r="180" spans="1:21" s="6" customFormat="1" hidden="1" x14ac:dyDescent="0.25">
      <c r="A180" s="6">
        <v>603442</v>
      </c>
      <c r="B180" s="6" t="str">
        <f>VLOOKUP(A180,SAP!1:1048576,2,FALSE)</f>
        <v>Zamk. środkowe góra 600-800 NT ALV</v>
      </c>
      <c r="C180" s="6">
        <f>C179</f>
        <v>1425</v>
      </c>
      <c r="D180" s="6">
        <v>861</v>
      </c>
      <c r="E180" s="6">
        <v>1060</v>
      </c>
      <c r="F180" s="16">
        <f t="shared" si="14"/>
        <v>0</v>
      </c>
      <c r="G180" s="6">
        <f t="shared" si="15"/>
        <v>0</v>
      </c>
      <c r="H180" s="6">
        <v>0</v>
      </c>
      <c r="I180" s="6">
        <f t="shared" si="16"/>
        <v>0</v>
      </c>
    </row>
    <row r="181" spans="1:21" s="6" customFormat="1" hidden="1" x14ac:dyDescent="0.25">
      <c r="A181" s="6">
        <v>603444</v>
      </c>
      <c r="B181" s="6" t="str">
        <f>VLOOKUP(A181,SAP!1:1048576,2,FALSE)</f>
        <v>Zamk. środkowe góra 801-1000 NT ALV</v>
      </c>
      <c r="C181" s="6">
        <f t="shared" ref="C181:C183" si="17">C180</f>
        <v>1425</v>
      </c>
      <c r="D181" s="6">
        <v>1061</v>
      </c>
      <c r="E181" s="6">
        <v>1260</v>
      </c>
      <c r="F181" s="16">
        <f t="shared" si="14"/>
        <v>0</v>
      </c>
      <c r="G181" s="6">
        <f t="shared" si="15"/>
        <v>0</v>
      </c>
      <c r="H181" s="6">
        <v>1</v>
      </c>
      <c r="I181" s="6">
        <f t="shared" si="16"/>
        <v>0</v>
      </c>
    </row>
    <row r="182" spans="1:21" s="6" customFormat="1" hidden="1" x14ac:dyDescent="0.25">
      <c r="A182" s="6">
        <v>603447</v>
      </c>
      <c r="B182" s="6" t="str">
        <f>VLOOKUP(A182,SAP!1:1048576,2,FALSE)</f>
        <v>Zamk. środkowe góra 1001-1200 NT ALV</v>
      </c>
      <c r="C182" s="6">
        <f t="shared" si="17"/>
        <v>1425</v>
      </c>
      <c r="D182" s="6">
        <v>1261</v>
      </c>
      <c r="E182" s="6">
        <v>1460</v>
      </c>
      <c r="F182" s="16">
        <f t="shared" si="14"/>
        <v>1</v>
      </c>
      <c r="G182" s="6">
        <f t="shared" si="15"/>
        <v>603447</v>
      </c>
      <c r="H182" s="6">
        <v>1</v>
      </c>
      <c r="I182" s="6">
        <f t="shared" si="16"/>
        <v>1</v>
      </c>
    </row>
    <row r="183" spans="1:21" s="6" customFormat="1" hidden="1" x14ac:dyDescent="0.25">
      <c r="A183" s="6">
        <v>603462</v>
      </c>
      <c r="B183" s="6" t="str">
        <f>VLOOKUP(A183,SAP!1:1048576,2,FALSE)</f>
        <v>Zamk. środkowe góra 1201-1400 NT ALV</v>
      </c>
      <c r="C183" s="6">
        <f t="shared" si="17"/>
        <v>1425</v>
      </c>
      <c r="D183" s="6">
        <v>1461</v>
      </c>
      <c r="E183" s="6">
        <v>1500</v>
      </c>
      <c r="F183" s="16">
        <f t="shared" si="14"/>
        <v>0</v>
      </c>
      <c r="G183" s="6">
        <f t="shared" si="15"/>
        <v>0</v>
      </c>
      <c r="H183" s="6">
        <v>1</v>
      </c>
      <c r="I183" s="6">
        <f t="shared" si="16"/>
        <v>0</v>
      </c>
    </row>
    <row r="184" spans="1:21" s="6" customFormat="1" hidden="1" x14ac:dyDescent="0.25">
      <c r="A184" s="6" t="s">
        <v>27</v>
      </c>
      <c r="F184" s="17">
        <f>SUM(F178:F183)</f>
        <v>1</v>
      </c>
      <c r="G184" s="20">
        <f>SUM(G178:G183)</f>
        <v>603447</v>
      </c>
      <c r="I184" s="21">
        <f>SUM(I178:I183)</f>
        <v>1</v>
      </c>
    </row>
    <row r="185" spans="1:21" s="6" customFormat="1" hidden="1" x14ac:dyDescent="0.25"/>
    <row r="186" spans="1:21" s="6" customFormat="1" hidden="1" x14ac:dyDescent="0.25">
      <c r="A186" s="18"/>
      <c r="B186" s="18"/>
      <c r="C186" s="18" t="s">
        <v>3</v>
      </c>
      <c r="D186" s="18" t="s">
        <v>1</v>
      </c>
      <c r="E186" s="18" t="s">
        <v>2</v>
      </c>
      <c r="F186" s="22" t="s">
        <v>4</v>
      </c>
      <c r="G186" s="18" t="s">
        <v>5</v>
      </c>
      <c r="H186" s="18" t="s">
        <v>6</v>
      </c>
      <c r="I186" s="18"/>
      <c r="J186" s="18" t="s">
        <v>1</v>
      </c>
      <c r="K186" s="18" t="s">
        <v>2</v>
      </c>
      <c r="L186" s="22" t="s">
        <v>4</v>
      </c>
      <c r="M186" s="18" t="s">
        <v>5</v>
      </c>
      <c r="N186" s="18" t="s">
        <v>6</v>
      </c>
      <c r="O186" s="18"/>
      <c r="P186" s="18" t="s">
        <v>1</v>
      </c>
      <c r="Q186" s="18" t="s">
        <v>2</v>
      </c>
      <c r="R186" s="22" t="s">
        <v>4</v>
      </c>
      <c r="S186" s="18" t="s">
        <v>5</v>
      </c>
      <c r="T186" s="18" t="s">
        <v>6</v>
      </c>
      <c r="U186" s="18"/>
    </row>
    <row r="187" spans="1:21" s="6" customFormat="1" hidden="1" x14ac:dyDescent="0.25">
      <c r="A187" s="18">
        <v>255281</v>
      </c>
      <c r="B187" s="18" t="str">
        <f>VLOOKUP(A187,SAP!1:1048576,2,FALSE)</f>
        <v>Zamkn. środkowe 1E NT MV600</v>
      </c>
      <c r="C187" s="18">
        <f>IF($C$218=FALSE,$C$92,IF($C$218=TRUE,$C$92-130))</f>
        <v>2237</v>
      </c>
      <c r="D187" s="18">
        <v>1201</v>
      </c>
      <c r="E187" s="18">
        <v>2500</v>
      </c>
      <c r="F187" s="22">
        <f>IF(C187&lt;D187,0,IF(C187&lt;=E187,1,IF(C187&gt;E187,0,IF(C187&lt;=2500,2))))</f>
        <v>1</v>
      </c>
      <c r="G187" s="18">
        <f>A187*F187</f>
        <v>255281</v>
      </c>
      <c r="H187" s="18">
        <v>1</v>
      </c>
      <c r="I187" s="18">
        <f>F187*H187</f>
        <v>1</v>
      </c>
      <c r="J187" s="18"/>
      <c r="K187" s="18"/>
      <c r="L187" s="22"/>
      <c r="M187" s="18"/>
      <c r="N187" s="18"/>
      <c r="O187" s="18"/>
      <c r="P187" s="18"/>
      <c r="Q187" s="18"/>
      <c r="R187" s="22"/>
      <c r="S187" s="18"/>
      <c r="T187" s="18"/>
      <c r="U187" s="18"/>
    </row>
    <row r="188" spans="1:21" s="6" customFormat="1" hidden="1" x14ac:dyDescent="0.25">
      <c r="A188" s="18">
        <v>308267</v>
      </c>
      <c r="B188" s="18" t="str">
        <f>VLOOKUP(A188,SAP!1:1048576,2,FALSE)</f>
        <v>Zamkn. środ. 200 łącz NTi</v>
      </c>
      <c r="C188" s="18">
        <f t="shared" ref="C188:C191" si="18">IF($C$218=FALSE,$C$92,IF($C$218=TRUE,$C$92-130))</f>
        <v>2237</v>
      </c>
      <c r="D188" s="18">
        <v>1801</v>
      </c>
      <c r="E188" s="18">
        <v>2000</v>
      </c>
      <c r="F188" s="22"/>
      <c r="G188" s="18"/>
      <c r="H188" s="18">
        <v>0</v>
      </c>
      <c r="I188" s="18"/>
      <c r="J188" s="18">
        <v>1801</v>
      </c>
      <c r="K188" s="18">
        <v>2000</v>
      </c>
      <c r="L188" s="22">
        <f>IF(C187&lt;J188,0,IF(C187&lt;=K188,1,IF(C187&gt;K188,0)))</f>
        <v>0</v>
      </c>
      <c r="M188" s="18">
        <f>L188*A188</f>
        <v>0</v>
      </c>
      <c r="N188" s="18">
        <v>0</v>
      </c>
      <c r="O188" s="18">
        <v>0</v>
      </c>
      <c r="P188" s="18">
        <v>2401</v>
      </c>
      <c r="Q188" s="18">
        <v>2500</v>
      </c>
      <c r="R188" s="22">
        <f>IF(C188&lt;P188,0,IF(C188&lt;=Q188,2,IF(C188&gt;Q188,0)))</f>
        <v>0</v>
      </c>
      <c r="S188" s="18">
        <f>R188*A188/2</f>
        <v>0</v>
      </c>
      <c r="T188" s="18">
        <v>0</v>
      </c>
      <c r="U188" s="18">
        <v>0</v>
      </c>
    </row>
    <row r="189" spans="1:21" s="6" customFormat="1" hidden="1" x14ac:dyDescent="0.25">
      <c r="A189" s="18">
        <v>297858</v>
      </c>
      <c r="B189" s="18" t="str">
        <f>VLOOKUP(A189,SAP!1:1048576,2,FALSE)</f>
        <v>Przedłużka zasuwn. NT MV400 bez zaczepu</v>
      </c>
      <c r="C189" s="18">
        <f t="shared" si="18"/>
        <v>2237</v>
      </c>
      <c r="D189" s="18">
        <v>1801</v>
      </c>
      <c r="E189" s="18">
        <v>2000</v>
      </c>
      <c r="F189" s="22"/>
      <c r="G189" s="18"/>
      <c r="H189" s="18">
        <v>0</v>
      </c>
      <c r="I189" s="18"/>
      <c r="J189" s="18">
        <v>2001</v>
      </c>
      <c r="K189" s="18">
        <v>2400</v>
      </c>
      <c r="L189" s="22">
        <f>IF(C189&lt;J189,0,IF(C189&lt;=K189,1,IF(C189&gt;K189,0)))</f>
        <v>1</v>
      </c>
      <c r="M189" s="18">
        <f>L189*A189</f>
        <v>297858</v>
      </c>
      <c r="N189" s="18">
        <v>0</v>
      </c>
      <c r="O189" s="18">
        <v>0</v>
      </c>
      <c r="P189" s="18"/>
      <c r="Q189" s="18"/>
      <c r="R189" s="22"/>
      <c r="S189" s="18"/>
      <c r="T189" s="18"/>
      <c r="U189" s="18"/>
    </row>
    <row r="190" spans="1:21" s="6" customFormat="1" hidden="1" x14ac:dyDescent="0.25">
      <c r="A190" s="18">
        <v>450821</v>
      </c>
      <c r="B190" s="18" t="str">
        <f>VLOOKUP(A190,SAP!1:1048576,2,FALSE)</f>
        <v>Zamkn. środ. 200/E łącz NT</v>
      </c>
      <c r="C190" s="18">
        <f t="shared" si="18"/>
        <v>2237</v>
      </c>
      <c r="D190" s="18">
        <v>2001</v>
      </c>
      <c r="E190" s="18">
        <v>2200</v>
      </c>
      <c r="F190" s="22"/>
      <c r="G190" s="18"/>
      <c r="H190" s="18">
        <v>1</v>
      </c>
      <c r="I190" s="18"/>
      <c r="J190" s="18"/>
      <c r="K190" s="18"/>
      <c r="L190" s="22"/>
      <c r="M190" s="18"/>
      <c r="N190" s="18"/>
      <c r="O190" s="18"/>
      <c r="P190" s="18">
        <v>2201</v>
      </c>
      <c r="Q190" s="18">
        <v>2400</v>
      </c>
      <c r="R190" s="22">
        <f>IF(C190&lt;P190,0,IF(C190&lt;=Q190,1,IF(C190&gt;Q190,0)))</f>
        <v>1</v>
      </c>
      <c r="S190" s="18">
        <f>R190*A190</f>
        <v>450821</v>
      </c>
      <c r="T190" s="18">
        <v>1</v>
      </c>
      <c r="U190" s="18">
        <f>T190*R190</f>
        <v>1</v>
      </c>
    </row>
    <row r="191" spans="1:21" s="6" customFormat="1" hidden="1" x14ac:dyDescent="0.25">
      <c r="A191" s="18">
        <v>255282</v>
      </c>
      <c r="B191" s="18" t="str">
        <f>VLOOKUP(A191,SAP!1:1048576,2,FALSE)</f>
        <v>Zamkn. środkowe 1E NT MV600 łączone</v>
      </c>
      <c r="C191" s="18">
        <f t="shared" si="18"/>
        <v>2237</v>
      </c>
      <c r="D191" s="18">
        <v>2201</v>
      </c>
      <c r="E191" s="18">
        <v>2500</v>
      </c>
      <c r="F191" s="22"/>
      <c r="G191" s="18"/>
      <c r="H191" s="18">
        <v>1</v>
      </c>
      <c r="I191" s="18"/>
      <c r="J191" s="18">
        <v>2401</v>
      </c>
      <c r="K191" s="18">
        <v>2500</v>
      </c>
      <c r="L191" s="22">
        <f>IF(C191&lt;J191,0,IF(C191&lt;=K191,1,IF(C191&gt;K191,0)))</f>
        <v>0</v>
      </c>
      <c r="M191" s="18">
        <f>L191*A191</f>
        <v>0</v>
      </c>
      <c r="N191" s="18">
        <v>1</v>
      </c>
      <c r="O191" s="18">
        <f>N191*L191</f>
        <v>0</v>
      </c>
      <c r="P191" s="18"/>
      <c r="Q191" s="18"/>
      <c r="R191" s="22"/>
      <c r="S191" s="18"/>
      <c r="T191" s="18"/>
      <c r="U191" s="18"/>
    </row>
    <row r="192" spans="1:21" s="6" customFormat="1" hidden="1" x14ac:dyDescent="0.25">
      <c r="F192" s="17">
        <f>SUM(F187:F191)</f>
        <v>1</v>
      </c>
      <c r="G192" s="23">
        <f>SUM(G187:G191)</f>
        <v>255281</v>
      </c>
      <c r="I192" s="24">
        <f>SUM(I187:I191)</f>
        <v>1</v>
      </c>
      <c r="L192" s="25">
        <f>SUM(L187:L191)</f>
        <v>1</v>
      </c>
      <c r="M192" s="23">
        <f>SUM(M188:M191)</f>
        <v>297858</v>
      </c>
      <c r="O192" s="26">
        <f>SUM(O188:O191)</f>
        <v>0</v>
      </c>
      <c r="P192" s="19"/>
      <c r="Q192" s="19"/>
      <c r="R192" s="27">
        <f>SUM(R187:R191)</f>
        <v>1</v>
      </c>
      <c r="S192" s="23">
        <f>SUM(S188:S191)</f>
        <v>450821</v>
      </c>
      <c r="T192" s="19"/>
      <c r="U192" s="26">
        <f>SUM(U188:U191)</f>
        <v>1</v>
      </c>
    </row>
    <row r="193" spans="1:18" s="6" customFormat="1" hidden="1" x14ac:dyDescent="0.25"/>
    <row r="194" spans="1:18" s="6" customFormat="1" hidden="1" x14ac:dyDescent="0.25">
      <c r="A194" s="6">
        <v>260272</v>
      </c>
      <c r="B194" s="6" t="str">
        <f>VLOOKUP(A194,SAP!1:1048576,2,FALSE)</f>
        <v>Narożnik Ku/r NT/1V</v>
      </c>
      <c r="C194" s="11">
        <v>2</v>
      </c>
      <c r="Q194" s="6" t="s">
        <v>43</v>
      </c>
      <c r="R194" s="11">
        <f>SUM(I192,O192,U192)+2</f>
        <v>4</v>
      </c>
    </row>
    <row r="195" spans="1:18" s="6" customFormat="1" hidden="1" x14ac:dyDescent="0.25">
      <c r="A195" s="6">
        <v>260275</v>
      </c>
      <c r="B195" s="6" t="str">
        <f>VLOOKUP(A195,SAP!1:1048576,2,FALSE)</f>
        <v>Narożnik NT/1E</v>
      </c>
      <c r="C195" s="11">
        <v>2</v>
      </c>
    </row>
    <row r="196" spans="1:18" s="6" customFormat="1" hidden="1" x14ac:dyDescent="0.25"/>
    <row r="197" spans="1:18" s="6" customFormat="1" hidden="1" x14ac:dyDescent="0.25"/>
    <row r="198" spans="1:18" s="6" customFormat="1" hidden="1" x14ac:dyDescent="0.25"/>
    <row r="199" spans="1:18" s="6" customFormat="1" hidden="1" x14ac:dyDescent="0.25">
      <c r="C199" s="5" t="str">
        <f>SAP!A64</f>
        <v>Lewe --&gt;</v>
      </c>
    </row>
    <row r="200" spans="1:18" s="6" customFormat="1" hidden="1" x14ac:dyDescent="0.25">
      <c r="C200" s="5" t="str">
        <f>SAP!A65</f>
        <v>Prawe &lt;--</v>
      </c>
    </row>
    <row r="201" spans="1:18" s="6" customFormat="1" hidden="1" x14ac:dyDescent="0.25">
      <c r="C201" s="6" t="s">
        <v>32</v>
      </c>
      <c r="D201" s="6" t="s">
        <v>4</v>
      </c>
      <c r="E201" s="6" t="s">
        <v>31</v>
      </c>
    </row>
    <row r="202" spans="1:18" s="6" customFormat="1" hidden="1" x14ac:dyDescent="0.25">
      <c r="A202" s="6">
        <v>762909</v>
      </c>
      <c r="B202" s="6" t="str">
        <f>VLOOKUP(A202,SAP!1:1048576,2,FALSE)</f>
        <v>Wózek 8 41 L PIN</v>
      </c>
    </row>
    <row r="203" spans="1:18" s="6" customFormat="1" hidden="1" x14ac:dyDescent="0.25">
      <c r="A203" s="6">
        <v>762910</v>
      </c>
      <c r="B203" s="6" t="str">
        <f>VLOOKUP(A203,SAP!1:1048576,2,FALSE)</f>
        <v>Wózek 8 41 R PIN</v>
      </c>
    </row>
    <row r="204" spans="1:18" s="6" customFormat="1" hidden="1" x14ac:dyDescent="0.25">
      <c r="A204" s="28">
        <v>797726</v>
      </c>
      <c r="B204" s="5" t="str">
        <f>VLOOKUP(A204,SAP!1:1048576,2,FALSE)</f>
        <v xml:space="preserve">Wózek DR 8 41 L PIN </v>
      </c>
      <c r="C204" s="5" t="s">
        <v>77</v>
      </c>
    </row>
    <row r="205" spans="1:18" s="6" customFormat="1" hidden="1" x14ac:dyDescent="0.25">
      <c r="A205" s="28">
        <v>797727</v>
      </c>
      <c r="B205" s="5" t="str">
        <f>VLOOKUP(A205,SAP!1:1048576,2,FALSE)</f>
        <v xml:space="preserve">Wózek DR 8 41 R PIN </v>
      </c>
      <c r="C205" s="5" t="s">
        <v>77</v>
      </c>
    </row>
    <row r="206" spans="1:18" s="6" customFormat="1" hidden="1" x14ac:dyDescent="0.25">
      <c r="C206" s="29">
        <v>1</v>
      </c>
      <c r="D206" s="6" t="s">
        <v>85</v>
      </c>
    </row>
    <row r="207" spans="1:18" s="6" customFormat="1" hidden="1" x14ac:dyDescent="0.25">
      <c r="A207" s="6">
        <v>762911</v>
      </c>
      <c r="B207" s="6" t="str">
        <f>VLOOKUP(A207,SAP!1:1048576,2,FALSE)</f>
        <v>Jednostka ster. 8 41 L PIN</v>
      </c>
    </row>
    <row r="208" spans="1:18" s="6" customFormat="1" hidden="1" x14ac:dyDescent="0.25">
      <c r="A208" s="6">
        <v>762912</v>
      </c>
      <c r="B208" s="6" t="str">
        <f>VLOOKUP(A208,SAP!1:1048576,2,FALSE)</f>
        <v>Jednostka ster. 8 41 R PIN</v>
      </c>
    </row>
    <row r="209" spans="1:4" s="6" customFormat="1" hidden="1" x14ac:dyDescent="0.25">
      <c r="A209" s="5">
        <v>797728</v>
      </c>
      <c r="B209" s="5" t="str">
        <f>VLOOKUP(A209,SAP!1:1048576,2,FALSE)</f>
        <v>Jednostka ster. DR 8 41 L PIN</v>
      </c>
      <c r="C209" s="5" t="s">
        <v>77</v>
      </c>
    </row>
    <row r="210" spans="1:4" s="6" customFormat="1" hidden="1" x14ac:dyDescent="0.25">
      <c r="A210" s="5">
        <v>797729</v>
      </c>
      <c r="B210" s="5" t="str">
        <f>VLOOKUP(A210,SAP!1:1048576,2,FALSE)</f>
        <v>Jednostka ster. DR 8 41 R PIN</v>
      </c>
      <c r="C210" s="5" t="s">
        <v>77</v>
      </c>
    </row>
    <row r="211" spans="1:4" s="6" customFormat="1" hidden="1" x14ac:dyDescent="0.25"/>
    <row r="212" spans="1:4" s="6" customFormat="1" hidden="1" x14ac:dyDescent="0.25">
      <c r="A212" s="6">
        <v>762913</v>
      </c>
      <c r="B212" s="6" t="str">
        <f>VLOOKUP(A212,SAP!1:1048576,2,FALSE)</f>
        <v>Docisk środkowy 8 41 L PIN</v>
      </c>
      <c r="C212" s="11">
        <f>IF(C187&lt;=2200,R194,IF(C187&lt;=2400,R194-1,IF(C187&gt;2400,R194)))</f>
        <v>3</v>
      </c>
      <c r="D212" s="6" t="s">
        <v>86</v>
      </c>
    </row>
    <row r="213" spans="1:4" s="6" customFormat="1" hidden="1" x14ac:dyDescent="0.25">
      <c r="A213" s="6">
        <v>762914</v>
      </c>
      <c r="B213" s="6" t="str">
        <f>VLOOKUP(A213,SAP!1:1048576,2,FALSE)</f>
        <v>Docisk środkowy 8 41 R PIN</v>
      </c>
    </row>
    <row r="214" spans="1:4" s="6" customFormat="1" hidden="1" x14ac:dyDescent="0.25">
      <c r="A214" s="5">
        <v>797730</v>
      </c>
      <c r="B214" s="5" t="str">
        <f>VLOOKUP(A214,SAP!1:1048576,2,FALSE)</f>
        <v>Docisk środkowy DR 8 41 L PIN</v>
      </c>
      <c r="C214" s="5" t="s">
        <v>77</v>
      </c>
    </row>
    <row r="215" spans="1:4" s="6" customFormat="1" hidden="1" x14ac:dyDescent="0.25">
      <c r="A215" s="5">
        <v>797732</v>
      </c>
      <c r="B215" s="5" t="str">
        <f>VLOOKUP(A215,SAP!1:1048576,2,FALSE)</f>
        <v>Docisk środkowy DR 8 41 R PIN</v>
      </c>
      <c r="C215" s="5" t="s">
        <v>77</v>
      </c>
    </row>
    <row r="216" spans="1:4" s="6" customFormat="1" hidden="1" x14ac:dyDescent="0.25"/>
    <row r="217" spans="1:4" s="6" customFormat="1" hidden="1" x14ac:dyDescent="0.25">
      <c r="A217" s="6">
        <v>764350</v>
      </c>
      <c r="B217" s="6" t="str">
        <f>VLOOKUP(A217,SAP!1:1048576,2,FALSE)</f>
        <v>Zamkn. środkowe 1E NTN MV130 łączone</v>
      </c>
      <c r="C217" s="6">
        <f>IF(C218=FALSE,4,IF(C218=TRUE,6))</f>
        <v>4</v>
      </c>
    </row>
    <row r="218" spans="1:4" s="6" customFormat="1" hidden="1" x14ac:dyDescent="0.25">
      <c r="C218" s="6" t="b">
        <v>0</v>
      </c>
    </row>
    <row r="219" spans="1:4" s="6" customFormat="1" hidden="1" x14ac:dyDescent="0.25">
      <c r="A219" s="5">
        <v>771375</v>
      </c>
      <c r="B219" s="5" t="str">
        <f>VLOOKUP(A219,SAP!1:1048576,2,FALSE)</f>
        <v>Trzpień docisku środkowego 34.4 PIN Holz</v>
      </c>
      <c r="C219" s="11">
        <f>IF(C187&lt;=2200,R194,IF(C187&lt;=2400,R194-1,IF(C187&gt;2400,R194)))</f>
        <v>3</v>
      </c>
    </row>
    <row r="220" spans="1:4" s="6" customFormat="1" hidden="1" x14ac:dyDescent="0.25">
      <c r="A220" s="6">
        <v>809614</v>
      </c>
      <c r="B220" s="6" t="str">
        <f>VLOOKUP(A220,SAP!1:1048576,2,FALSE)</f>
        <v>Trzpień docisku środkowego 38.4 PIN Gealan</v>
      </c>
    </row>
    <row r="221" spans="1:4" s="6" customFormat="1" hidden="1" x14ac:dyDescent="0.25">
      <c r="A221" s="6">
        <v>809612</v>
      </c>
      <c r="B221" s="6" t="str">
        <f>VLOOKUP(A221,SAP!1:1048576,2,FALSE)</f>
        <v>Trzpień docisku środkowego 32.8 PIN Aluplast</v>
      </c>
    </row>
    <row r="222" spans="1:4" s="6" customFormat="1" hidden="1" x14ac:dyDescent="0.25"/>
    <row r="223" spans="1:4" s="6" customFormat="1" hidden="1" x14ac:dyDescent="0.25"/>
    <row r="224" spans="1:4" s="6" customFormat="1" hidden="1" x14ac:dyDescent="0.25">
      <c r="A224" s="6">
        <v>793493</v>
      </c>
      <c r="B224" s="6" t="str">
        <f>VLOOKUP(A224,SAP!1:1048576,2,FALSE)</f>
        <v>Zaczep docisku MV-SEB</v>
      </c>
      <c r="C224" s="11">
        <f>IF(C187&lt;=2200,R194,IF(C187&lt;=2400,R194-1,IF(C187&gt;2400,R194)))</f>
        <v>3</v>
      </c>
      <c r="D224" s="6" t="s">
        <v>49</v>
      </c>
    </row>
    <row r="225" spans="1:4" s="6" customFormat="1" hidden="1" x14ac:dyDescent="0.25">
      <c r="A225" s="5">
        <v>798223</v>
      </c>
      <c r="B225" s="5" t="str">
        <f>VLOOKUP(A225,SAP!1:1048576,2,FALSE)</f>
        <v>Zaczep docisku MV-SEB Holz</v>
      </c>
      <c r="C225" s="5"/>
      <c r="D225" s="5" t="s">
        <v>50</v>
      </c>
    </row>
    <row r="226" spans="1:4" s="6" customFormat="1" hidden="1" x14ac:dyDescent="0.25"/>
    <row r="227" spans="1:4" s="6" customFormat="1" hidden="1" x14ac:dyDescent="0.25">
      <c r="A227" s="6">
        <v>798225</v>
      </c>
      <c r="B227" s="6" t="str">
        <f>VLOOKUP(A227,SAP!1:1048576,2,FALSE)</f>
        <v>Zaczep p-wywBlok.bł.obsługiDr/PVC12.2PIN</v>
      </c>
      <c r="C227" s="6">
        <f>IF(C92&lt;1000,0,IF(C92&gt;=1001,1))</f>
        <v>1</v>
      </c>
    </row>
    <row r="228" spans="1:4" s="6" customFormat="1" hidden="1" x14ac:dyDescent="0.25">
      <c r="A228" s="6">
        <v>788175</v>
      </c>
      <c r="B228" s="6" t="s">
        <v>341</v>
      </c>
    </row>
    <row r="229" spans="1:4" s="6" customFormat="1" hidden="1" x14ac:dyDescent="0.25"/>
    <row r="230" spans="1:4" s="6" customFormat="1" hidden="1" x14ac:dyDescent="0.25">
      <c r="A230" s="6">
        <v>0</v>
      </c>
      <c r="B230" s="6" t="s">
        <v>40</v>
      </c>
    </row>
    <row r="231" spans="1:4" s="6" customFormat="1" hidden="1" x14ac:dyDescent="0.25"/>
    <row r="232" spans="1:4" s="6" customFormat="1" hidden="1" x14ac:dyDescent="0.25">
      <c r="A232" s="6">
        <v>744579</v>
      </c>
      <c r="B232" s="6" t="str">
        <f>VLOOKUP(A232,SAP!1:1048576,2,FALSE)</f>
        <v>Zaczep p-wyw PVC 12.2 PIN</v>
      </c>
    </row>
    <row r="233" spans="1:4" s="6" customFormat="1" hidden="1" x14ac:dyDescent="0.25">
      <c r="A233" s="5">
        <v>798224</v>
      </c>
      <c r="B233" s="5" t="str">
        <f>VLOOKUP(A233,SAP!1:1048576,2,FALSE)</f>
        <v>Zaczep p-wyw drewno L</v>
      </c>
      <c r="C233" s="5" t="s">
        <v>77</v>
      </c>
    </row>
    <row r="234" spans="1:4" s="6" customFormat="1" hidden="1" x14ac:dyDescent="0.25">
      <c r="A234" s="5">
        <v>798245</v>
      </c>
      <c r="B234" s="5" t="str">
        <f>VLOOKUP(A234,SAP!1:1048576,2,FALSE)</f>
        <v>Zaczep p-wyw drewno R</v>
      </c>
      <c r="C234" s="5" t="s">
        <v>77</v>
      </c>
    </row>
    <row r="235" spans="1:4" s="6" customFormat="1" hidden="1" x14ac:dyDescent="0.25">
      <c r="A235" s="30"/>
      <c r="B235" s="30"/>
      <c r="C235" s="30"/>
    </row>
    <row r="236" spans="1:4" s="6" customFormat="1" hidden="1" x14ac:dyDescent="0.25">
      <c r="A236" s="6">
        <v>635307</v>
      </c>
      <c r="B236" s="6" t="str">
        <f>VLOOKUP(A236,SAP!1:1048576,2,FALSE)</f>
        <v>Zderzak 14 PIN</v>
      </c>
    </row>
    <row r="237" spans="1:4" s="6" customFormat="1" hidden="1" x14ac:dyDescent="0.25"/>
    <row r="238" spans="1:4" s="6" customFormat="1" hidden="1" x14ac:dyDescent="0.25">
      <c r="A238" s="6">
        <v>635183</v>
      </c>
      <c r="B238" s="6" t="str">
        <f>VLOOKUP(A238,SAP!1:1048576,2,FALSE)</f>
        <v>Odbojnik gumowy 21x8 RAL9005 Inowa</v>
      </c>
    </row>
    <row r="239" spans="1:4" s="6" customFormat="1" hidden="1" x14ac:dyDescent="0.25">
      <c r="A239" s="5">
        <v>798249</v>
      </c>
      <c r="B239" s="5" t="str">
        <f>VLOOKUP(A239,SAP!1:1048576,2,FALSE)</f>
        <v>Odbojnik gumowy 21X11.5 RAL 9005 Holz</v>
      </c>
      <c r="C239" s="5" t="s">
        <v>77</v>
      </c>
    </row>
    <row r="240" spans="1:4" s="6" customFormat="1" hidden="1" x14ac:dyDescent="0.25">
      <c r="A240" s="6">
        <v>800196</v>
      </c>
      <c r="B240" s="6" t="str">
        <f>VLOOKUP($A$240,SAP!1:1048576,2,0)</f>
        <v>Stoper do prowadnicy górnej PIN</v>
      </c>
    </row>
    <row r="241" spans="1:5" s="6" customFormat="1" hidden="1" x14ac:dyDescent="0.25">
      <c r="A241" s="6">
        <v>800197</v>
      </c>
      <c r="B241" s="6" t="str">
        <f>VLOOKUP(A241,SAP!1:1048576,2,0)</f>
        <v>El. dyst. stopera prowadnicy górnej PIN</v>
      </c>
    </row>
    <row r="242" spans="1:5" s="6" customFormat="1" hidden="1" x14ac:dyDescent="0.25"/>
    <row r="243" spans="1:5" s="6" customFormat="1" hidden="1" x14ac:dyDescent="0.25">
      <c r="A243" s="98">
        <v>819632</v>
      </c>
      <c r="B243" s="6" t="str">
        <f>VLOOKUP(A243,SAP!A134:G409,2,FALSE)</f>
        <v>Osłona MB R01.1 PIN</v>
      </c>
      <c r="C243" s="6" t="str">
        <f>SAP!A113</f>
        <v>R01.1 naturalny srebrny</v>
      </c>
      <c r="E243" s="11">
        <v>1</v>
      </c>
    </row>
    <row r="244" spans="1:5" s="6" customFormat="1" hidden="1" x14ac:dyDescent="0.25">
      <c r="A244" s="98">
        <v>819631</v>
      </c>
      <c r="B244" s="6" t="str">
        <f>VLOOKUP(A244,SAP!A135:G409,2,FALSE)</f>
        <v>Osłona MB R05.3 PIN</v>
      </c>
      <c r="C244" s="6" t="str">
        <f>SAP!A112</f>
        <v>R05.3 średni brąz</v>
      </c>
    </row>
    <row r="245" spans="1:5" s="6" customFormat="1" hidden="1" x14ac:dyDescent="0.25">
      <c r="A245" s="6">
        <v>798979</v>
      </c>
      <c r="B245" s="6" t="str">
        <f>VLOOKUP(A245,SAP!1:1048576,2,FALSE)</f>
        <v>Osłona MB R06.2 PIN</v>
      </c>
      <c r="C245" s="6" t="str">
        <f>SAP!A110</f>
        <v>R06.2 czarny</v>
      </c>
    </row>
    <row r="246" spans="1:5" s="6" customFormat="1" hidden="1" x14ac:dyDescent="0.25">
      <c r="A246" s="6">
        <v>808054</v>
      </c>
      <c r="B246" s="6" t="str">
        <f>VLOOKUP(A246,SAP!1:1048576,2,FALSE)</f>
        <v>Osłona MB R07.2 PIN</v>
      </c>
      <c r="C246" s="6" t="str">
        <f>SAP!A111</f>
        <v>R07.2 biały</v>
      </c>
    </row>
    <row r="247" spans="1:5" s="6" customFormat="1" hidden="1" x14ac:dyDescent="0.25"/>
    <row r="248" spans="1:5" s="6" customFormat="1" hidden="1" x14ac:dyDescent="0.25">
      <c r="A248" s="5">
        <f>SAP!A276</f>
        <v>807733</v>
      </c>
      <c r="B248" s="5" t="str">
        <f>VLOOKUP(A248,SAP!1:1048576,2,FALSE)</f>
        <v>Próg AL L=3,2M R01.1-1101 PIN</v>
      </c>
    </row>
    <row r="249" spans="1:5" s="6" customFormat="1" hidden="1" x14ac:dyDescent="0.25">
      <c r="A249" s="5">
        <f>SAP!A277</f>
        <v>807734</v>
      </c>
      <c r="B249" s="5" t="str">
        <f>VLOOKUP(A249,SAP!1:1048576,2,FALSE)</f>
        <v>Próg AL L=6,4M R01.1-1101 PIN</v>
      </c>
    </row>
    <row r="250" spans="1:5" s="6" customFormat="1" hidden="1" x14ac:dyDescent="0.25"/>
    <row r="251" spans="1:5" s="6" customFormat="1" hidden="1" x14ac:dyDescent="0.25">
      <c r="A251" s="6">
        <v>782921</v>
      </c>
      <c r="B251" s="6" t="str">
        <f>VLOOKUP(A251,SAP!$1:$1048576,2,FALSE)</f>
        <v>Prowadnica L=3,2M R01.1-1101 PIN</v>
      </c>
    </row>
    <row r="252" spans="1:5" s="6" customFormat="1" hidden="1" x14ac:dyDescent="0.25">
      <c r="A252" s="6">
        <v>782922</v>
      </c>
      <c r="B252" s="6" t="str">
        <f>VLOOKUP(A252,SAP!$1:$1048576,2,FALSE)</f>
        <v>Prowadnica L=6,4M R01.1-1101 PIN</v>
      </c>
    </row>
    <row r="253" spans="1:5" s="6" customFormat="1" hidden="1" x14ac:dyDescent="0.25"/>
    <row r="254" spans="1:5" s="6" customFormat="1" hidden="1" x14ac:dyDescent="0.25">
      <c r="A254" s="5">
        <f>SAP!A282</f>
        <v>473587</v>
      </c>
      <c r="B254" s="5" t="str">
        <f>VLOOKUP(A254,SAP!1:1048576,2,FALSE)</f>
        <v>Uszczelka QL-3006 2,1m BRĄZ RAL8019</v>
      </c>
    </row>
    <row r="255" spans="1:5" s="6" customFormat="1" hidden="1" x14ac:dyDescent="0.25">
      <c r="A255" s="5">
        <f>SAP!A283</f>
        <v>473588</v>
      </c>
      <c r="B255" s="5" t="str">
        <f>VLOOKUP(A255,SAP!1:1048576,2,FALSE)</f>
        <v>Uszczelka QL-7000 BRĄZ RAL8019</v>
      </c>
    </row>
    <row r="256" spans="1:5" s="6" customFormat="1" hidden="1" x14ac:dyDescent="0.25">
      <c r="C256" s="6" t="s">
        <v>196</v>
      </c>
      <c r="D256" s="6" t="s">
        <v>195</v>
      </c>
      <c r="E256" s="6" t="s">
        <v>197</v>
      </c>
    </row>
    <row r="257" spans="1:7" s="6" customFormat="1" hidden="1" x14ac:dyDescent="0.25">
      <c r="C257" s="31">
        <f>D81</f>
        <v>1</v>
      </c>
      <c r="D257" s="31">
        <f>D88</f>
        <v>3</v>
      </c>
      <c r="E257" s="31">
        <f>F88</f>
        <v>1</v>
      </c>
    </row>
    <row r="258" spans="1:7" s="6" customFormat="1" hidden="1" x14ac:dyDescent="0.25">
      <c r="A258" s="6">
        <v>786362</v>
      </c>
      <c r="B258" s="6" t="str">
        <f>VLOOKUP(A258,SAP!$1:$1048576,2,FALSE)</f>
        <v>Klamka R-line 32mm 200 R01.1 ALV</v>
      </c>
      <c r="C258" s="6">
        <f>IF($C$257=1,1,IF($C$257&lt;&gt;1,0))</f>
        <v>1</v>
      </c>
      <c r="D258" s="6">
        <f>IF($D$257=1,1,IF($D$257&lt;&gt;1,0))</f>
        <v>0</v>
      </c>
      <c r="E258" s="6">
        <f>IF($E$257=1,1,IF($E$257&lt;&gt;1,0))</f>
        <v>1</v>
      </c>
      <c r="F258" s="6">
        <f t="shared" ref="F258:F293" si="19">C258*D258*E258</f>
        <v>0</v>
      </c>
      <c r="G258" s="6">
        <f t="shared" ref="G258:G293" si="20">F258*A258</f>
        <v>0</v>
      </c>
    </row>
    <row r="259" spans="1:7" s="6" customFormat="1" hidden="1" x14ac:dyDescent="0.25">
      <c r="A259" s="6">
        <v>786669</v>
      </c>
      <c r="B259" s="6" t="str">
        <f>VLOOKUP(A259,SAP!$1:$1048576,2,FALSE)</f>
        <v>Klamka R-line 32mm 200 R01.2 ALV</v>
      </c>
      <c r="C259" s="6">
        <f t="shared" ref="C259:C288" si="21">IF($C$257=1,1,IF($C$257&lt;&gt;1,0))</f>
        <v>1</v>
      </c>
      <c r="D259" s="6">
        <f t="shared" ref="D259:D267" si="22">IF($D$257=1,1,IF($D$257&lt;&gt;1,0))</f>
        <v>0</v>
      </c>
      <c r="E259" s="6">
        <f>IF($E$257=2,1,IF($E$257&lt;&gt;2,0))</f>
        <v>0</v>
      </c>
      <c r="F259" s="6">
        <f t="shared" si="19"/>
        <v>0</v>
      </c>
      <c r="G259" s="6">
        <f t="shared" si="20"/>
        <v>0</v>
      </c>
    </row>
    <row r="260" spans="1:7" s="6" customFormat="1" hidden="1" x14ac:dyDescent="0.25">
      <c r="A260" s="6">
        <v>786670</v>
      </c>
      <c r="B260" s="6" t="str">
        <f>VLOOKUP(A260,SAP!$1:$1048576,2,FALSE)</f>
        <v>Klamka R-line 32mm 200 R01.3 ALV</v>
      </c>
      <c r="C260" s="6">
        <f t="shared" si="21"/>
        <v>1</v>
      </c>
      <c r="D260" s="6">
        <f t="shared" si="22"/>
        <v>0</v>
      </c>
      <c r="E260" s="6">
        <f>IF($E$257=3,1,IF($E$257&lt;&gt;3,0))</f>
        <v>0</v>
      </c>
      <c r="F260" s="6">
        <f t="shared" si="19"/>
        <v>0</v>
      </c>
      <c r="G260" s="6">
        <f t="shared" si="20"/>
        <v>0</v>
      </c>
    </row>
    <row r="261" spans="1:7" s="6" customFormat="1" hidden="1" x14ac:dyDescent="0.25">
      <c r="A261" s="6">
        <v>786671</v>
      </c>
      <c r="B261" s="6" t="str">
        <f>VLOOKUP(A261,SAP!$1:$1048576,2,FALSE)</f>
        <v>Klamka R-line 32mm 200 R01.5 ALV</v>
      </c>
      <c r="C261" s="6">
        <f t="shared" si="21"/>
        <v>1</v>
      </c>
      <c r="D261" s="6">
        <f t="shared" si="22"/>
        <v>0</v>
      </c>
      <c r="E261" s="6">
        <f>IF($E$257=4,1,IF($E$257&lt;&gt;4,0))</f>
        <v>0</v>
      </c>
      <c r="F261" s="6">
        <f t="shared" si="19"/>
        <v>0</v>
      </c>
      <c r="G261" s="6">
        <f t="shared" si="20"/>
        <v>0</v>
      </c>
    </row>
    <row r="262" spans="1:7" s="6" customFormat="1" hidden="1" x14ac:dyDescent="0.25">
      <c r="A262" s="6">
        <v>786363</v>
      </c>
      <c r="B262" s="6" t="str">
        <f>VLOOKUP(A262,SAP!$1:$1048576,2,FALSE)</f>
        <v>Klamka R-line 32mm 200 R05.3 ALV</v>
      </c>
      <c r="C262" s="6">
        <f t="shared" si="21"/>
        <v>1</v>
      </c>
      <c r="D262" s="6">
        <f t="shared" si="22"/>
        <v>0</v>
      </c>
      <c r="E262" s="6">
        <f>IF($E$257=5,1,IF($E$257&lt;&gt;5,0))</f>
        <v>0</v>
      </c>
      <c r="F262" s="6">
        <f t="shared" si="19"/>
        <v>0</v>
      </c>
      <c r="G262" s="6">
        <f t="shared" si="20"/>
        <v>0</v>
      </c>
    </row>
    <row r="263" spans="1:7" s="6" customFormat="1" hidden="1" x14ac:dyDescent="0.25">
      <c r="A263" s="6">
        <v>786364</v>
      </c>
      <c r="B263" s="6" t="str">
        <f>VLOOKUP(A263,SAP!$1:$1048576,2,FALSE)</f>
        <v>Klamka R-line 32mm 200 R05.4 ALV</v>
      </c>
      <c r="C263" s="6">
        <f t="shared" si="21"/>
        <v>1</v>
      </c>
      <c r="D263" s="6">
        <f t="shared" si="22"/>
        <v>0</v>
      </c>
      <c r="E263" s="6">
        <f>IF($E$257=6,1,IF($E$257&lt;&gt;6,0))</f>
        <v>0</v>
      </c>
      <c r="F263" s="6">
        <f t="shared" si="19"/>
        <v>0</v>
      </c>
      <c r="G263" s="6">
        <f t="shared" si="20"/>
        <v>0</v>
      </c>
    </row>
    <row r="264" spans="1:7" s="6" customFormat="1" hidden="1" x14ac:dyDescent="0.25">
      <c r="A264" s="6">
        <v>786673</v>
      </c>
      <c r="B264" s="6" t="str">
        <f>VLOOKUP(A264,SAP!$1:$1048576,2,FALSE)</f>
        <v>Klamka R-line 32mm 200 R05.5 ALV</v>
      </c>
      <c r="C264" s="6">
        <f t="shared" si="21"/>
        <v>1</v>
      </c>
      <c r="D264" s="6">
        <f t="shared" si="22"/>
        <v>0</v>
      </c>
      <c r="E264" s="6">
        <f>IF($E$257=7,1,IF($E$257&lt;&gt;7,0))</f>
        <v>0</v>
      </c>
      <c r="F264" s="6">
        <f t="shared" si="19"/>
        <v>0</v>
      </c>
      <c r="G264" s="6">
        <f t="shared" si="20"/>
        <v>0</v>
      </c>
    </row>
    <row r="265" spans="1:7" s="6" customFormat="1" hidden="1" x14ac:dyDescent="0.25">
      <c r="A265" s="6">
        <v>786674</v>
      </c>
      <c r="B265" s="6" t="str">
        <f>VLOOKUP(A265,SAP!$1:$1048576,2,FALSE)</f>
        <v>Klamka R-line 32mm 200 R06.2M ALV</v>
      </c>
      <c r="C265" s="6">
        <f t="shared" si="21"/>
        <v>1</v>
      </c>
      <c r="D265" s="6">
        <f t="shared" si="22"/>
        <v>0</v>
      </c>
      <c r="E265" s="6">
        <f>IF($E$257=8,1,IF($E$257&lt;&gt;8,0))</f>
        <v>0</v>
      </c>
      <c r="F265" s="6">
        <f t="shared" si="19"/>
        <v>0</v>
      </c>
      <c r="G265" s="6">
        <f t="shared" si="20"/>
        <v>0</v>
      </c>
    </row>
    <row r="266" spans="1:7" s="6" customFormat="1" hidden="1" x14ac:dyDescent="0.25">
      <c r="A266" s="6">
        <v>786395</v>
      </c>
      <c r="B266" s="6" t="str">
        <f>VLOOKUP(A266,SAP!$1:$1048576,2,FALSE)</f>
        <v>Klamka R-line 32mm 200 R07.2 ALV</v>
      </c>
      <c r="C266" s="6">
        <f t="shared" si="21"/>
        <v>1</v>
      </c>
      <c r="D266" s="6">
        <f t="shared" si="22"/>
        <v>0</v>
      </c>
      <c r="E266" s="6">
        <f>IF($E$257=9,1,IF($E$257&lt;&gt;9,0))</f>
        <v>0</v>
      </c>
      <c r="F266" s="6">
        <f t="shared" si="19"/>
        <v>0</v>
      </c>
      <c r="G266" s="6">
        <f t="shared" si="20"/>
        <v>0</v>
      </c>
    </row>
    <row r="267" spans="1:7" s="6" customFormat="1" hidden="1" x14ac:dyDescent="0.25">
      <c r="A267" s="6">
        <v>786717</v>
      </c>
      <c r="B267" s="6" t="str">
        <f>VLOOKUP(A267,SAP!$1:$1048576,2,FALSE)</f>
        <v>Klamka R-line 32mm 200 R07.3 ALV</v>
      </c>
      <c r="C267" s="6">
        <f t="shared" si="21"/>
        <v>1</v>
      </c>
      <c r="D267" s="6">
        <f t="shared" si="22"/>
        <v>0</v>
      </c>
      <c r="E267" s="6">
        <f>IF($E$257=10,1,IF($E$257&lt;&gt;10,0))</f>
        <v>0</v>
      </c>
      <c r="F267" s="6">
        <f t="shared" si="19"/>
        <v>0</v>
      </c>
      <c r="G267" s="6">
        <f t="shared" si="20"/>
        <v>0</v>
      </c>
    </row>
    <row r="268" spans="1:7" s="6" customFormat="1" hidden="1" x14ac:dyDescent="0.25">
      <c r="A268" s="6">
        <v>780549</v>
      </c>
      <c r="B268" s="6" t="str">
        <f>VLOOKUP(A268,SAP!$1:$1048576,2,FALSE)</f>
        <v>Klamka R-line 37mm 200 R01.1 ALV</v>
      </c>
      <c r="C268" s="6">
        <f t="shared" si="21"/>
        <v>1</v>
      </c>
      <c r="D268" s="6">
        <f>IF($D$257=2,1,IF($D$257&lt;&gt;2,0))</f>
        <v>0</v>
      </c>
      <c r="E268" s="6">
        <f>IF($E$257=1,1,IF($E$257&lt;&gt;1,0))</f>
        <v>1</v>
      </c>
      <c r="F268" s="6">
        <f t="shared" si="19"/>
        <v>0</v>
      </c>
      <c r="G268" s="6">
        <f t="shared" si="20"/>
        <v>0</v>
      </c>
    </row>
    <row r="269" spans="1:7" s="6" customFormat="1" hidden="1" x14ac:dyDescent="0.25">
      <c r="A269" s="6">
        <v>786517</v>
      </c>
      <c r="B269" s="6" t="str">
        <f>VLOOKUP(A269,SAP!$1:$1048576,2,FALSE)</f>
        <v>Klamka R-line 37mm 200 R01.2 ALV</v>
      </c>
      <c r="C269" s="6">
        <f t="shared" si="21"/>
        <v>1</v>
      </c>
      <c r="D269" s="6">
        <f t="shared" ref="D269:D277" si="23">IF($D$257=2,1,IF($D$257&lt;&gt;2,0))</f>
        <v>0</v>
      </c>
      <c r="E269" s="6">
        <f>IF($E$257=2,1,IF($E$257&lt;&gt;2,0))</f>
        <v>0</v>
      </c>
      <c r="F269" s="6">
        <f t="shared" si="19"/>
        <v>0</v>
      </c>
      <c r="G269" s="6">
        <f t="shared" si="20"/>
        <v>0</v>
      </c>
    </row>
    <row r="270" spans="1:7" s="6" customFormat="1" hidden="1" x14ac:dyDescent="0.25">
      <c r="A270" s="6">
        <v>780552</v>
      </c>
      <c r="B270" s="6" t="str">
        <f>VLOOKUP(A270,SAP!$1:$1048576,2,FALSE)</f>
        <v>Klamka R-line 37mm 200 R01.3 ALV</v>
      </c>
      <c r="C270" s="6">
        <f t="shared" si="21"/>
        <v>1</v>
      </c>
      <c r="D270" s="6">
        <f t="shared" si="23"/>
        <v>0</v>
      </c>
      <c r="E270" s="6">
        <f>IF($E$257=3,1,IF($E$257&lt;&gt;3,0))</f>
        <v>0</v>
      </c>
      <c r="F270" s="6">
        <f t="shared" si="19"/>
        <v>0</v>
      </c>
      <c r="G270" s="6">
        <f t="shared" si="20"/>
        <v>0</v>
      </c>
    </row>
    <row r="271" spans="1:7" s="6" customFormat="1" hidden="1" x14ac:dyDescent="0.25">
      <c r="A271" s="6">
        <v>786519</v>
      </c>
      <c r="B271" s="6" t="str">
        <f>VLOOKUP(A271,SAP!$1:$1048576,2,FALSE)</f>
        <v>Klamka R-line 37mm 200 R01.5 ALV</v>
      </c>
      <c r="C271" s="6">
        <f t="shared" si="21"/>
        <v>1</v>
      </c>
      <c r="D271" s="6">
        <f t="shared" si="23"/>
        <v>0</v>
      </c>
      <c r="E271" s="6">
        <f>IF($E$257=4,1,IF($E$257&lt;&gt;4,0))</f>
        <v>0</v>
      </c>
      <c r="F271" s="6">
        <f t="shared" si="19"/>
        <v>0</v>
      </c>
      <c r="G271" s="6">
        <f t="shared" si="20"/>
        <v>0</v>
      </c>
    </row>
    <row r="272" spans="1:7" s="6" customFormat="1" hidden="1" x14ac:dyDescent="0.25">
      <c r="A272" s="6">
        <v>780575</v>
      </c>
      <c r="B272" s="6" t="str">
        <f>VLOOKUP(A272,SAP!$1:$1048576,2,FALSE)</f>
        <v>Klamka R-line 37mm 200 R05.3 ALV</v>
      </c>
      <c r="C272" s="6">
        <f t="shared" si="21"/>
        <v>1</v>
      </c>
      <c r="D272" s="6">
        <f t="shared" si="23"/>
        <v>0</v>
      </c>
      <c r="E272" s="6">
        <f>IF($E$257=5,1,IF($E$257&lt;&gt;5,0))</f>
        <v>0</v>
      </c>
      <c r="F272" s="6">
        <f t="shared" si="19"/>
        <v>0</v>
      </c>
      <c r="G272" s="6">
        <f t="shared" si="20"/>
        <v>0</v>
      </c>
    </row>
    <row r="273" spans="1:7" s="6" customFormat="1" hidden="1" x14ac:dyDescent="0.25">
      <c r="A273" s="6">
        <v>780576</v>
      </c>
      <c r="B273" s="6" t="str">
        <f>VLOOKUP(A273,SAP!$1:$1048576,2,FALSE)</f>
        <v>Klamka R-line 37mm 200 R05.4 ALV</v>
      </c>
      <c r="C273" s="6">
        <f t="shared" si="21"/>
        <v>1</v>
      </c>
      <c r="D273" s="6">
        <f t="shared" si="23"/>
        <v>0</v>
      </c>
      <c r="E273" s="6">
        <f>IF($E$257=6,1,IF($E$257&lt;&gt;6,0))</f>
        <v>0</v>
      </c>
      <c r="F273" s="6">
        <f t="shared" si="19"/>
        <v>0</v>
      </c>
      <c r="G273" s="6">
        <f t="shared" si="20"/>
        <v>0</v>
      </c>
    </row>
    <row r="274" spans="1:7" s="6" customFormat="1" hidden="1" x14ac:dyDescent="0.25">
      <c r="A274" s="6">
        <v>780577</v>
      </c>
      <c r="B274" s="6" t="str">
        <f>VLOOKUP(A274,SAP!$1:$1048576,2,FALSE)</f>
        <v>Klamka R-line 37mm 200 R05.5 ALV</v>
      </c>
      <c r="C274" s="6">
        <f t="shared" si="21"/>
        <v>1</v>
      </c>
      <c r="D274" s="6">
        <f t="shared" si="23"/>
        <v>0</v>
      </c>
      <c r="E274" s="6">
        <f>IF($E$257=7,1,IF($E$257&lt;&gt;7,0))</f>
        <v>0</v>
      </c>
      <c r="F274" s="6">
        <f t="shared" si="19"/>
        <v>0</v>
      </c>
      <c r="G274" s="6">
        <f t="shared" si="20"/>
        <v>0</v>
      </c>
    </row>
    <row r="275" spans="1:7" s="6" customFormat="1" hidden="1" x14ac:dyDescent="0.25">
      <c r="A275" s="6">
        <v>786715</v>
      </c>
      <c r="B275" s="6" t="str">
        <f>VLOOKUP(A275,SAP!$1:$1048576,2,FALSE)</f>
        <v>Klamka R-line 37mm 200 R06.2M ALV</v>
      </c>
      <c r="C275" s="6">
        <f t="shared" si="21"/>
        <v>1</v>
      </c>
      <c r="D275" s="6">
        <f t="shared" si="23"/>
        <v>0</v>
      </c>
      <c r="E275" s="6">
        <f>IF($E$257=8,1,IF($E$257&lt;&gt;8,0))</f>
        <v>0</v>
      </c>
      <c r="F275" s="6">
        <f t="shared" si="19"/>
        <v>0</v>
      </c>
      <c r="G275" s="6">
        <f t="shared" si="20"/>
        <v>0</v>
      </c>
    </row>
    <row r="276" spans="1:7" s="6" customFormat="1" hidden="1" x14ac:dyDescent="0.25">
      <c r="A276" s="6">
        <v>780578</v>
      </c>
      <c r="B276" s="6" t="str">
        <f>VLOOKUP(A276,SAP!$1:$1048576,2,FALSE)</f>
        <v>Klamka R-line 37mm 200 R07.2 ALV</v>
      </c>
      <c r="C276" s="6">
        <f t="shared" si="21"/>
        <v>1</v>
      </c>
      <c r="D276" s="6">
        <f t="shared" si="23"/>
        <v>0</v>
      </c>
      <c r="E276" s="6">
        <f>IF($E$257=9,1,IF($E$257&lt;&gt;9,0))</f>
        <v>0</v>
      </c>
      <c r="F276" s="6">
        <f t="shared" si="19"/>
        <v>0</v>
      </c>
      <c r="G276" s="6">
        <f t="shared" si="20"/>
        <v>0</v>
      </c>
    </row>
    <row r="277" spans="1:7" s="6" customFormat="1" hidden="1" x14ac:dyDescent="0.25">
      <c r="A277" s="6">
        <v>780579</v>
      </c>
      <c r="B277" s="6" t="str">
        <f>VLOOKUP(A277,SAP!$1:$1048576,2,FALSE)</f>
        <v>Klamka R-line 37mm 200 R07.3 ALV</v>
      </c>
      <c r="C277" s="6">
        <f t="shared" si="21"/>
        <v>1</v>
      </c>
      <c r="D277" s="6">
        <f t="shared" si="23"/>
        <v>0</v>
      </c>
      <c r="E277" s="6">
        <f>IF($E$257=10,1,IF($E$257&lt;&gt;10,0))</f>
        <v>0</v>
      </c>
      <c r="F277" s="6">
        <f t="shared" si="19"/>
        <v>0</v>
      </c>
      <c r="G277" s="6">
        <f t="shared" si="20"/>
        <v>0</v>
      </c>
    </row>
    <row r="278" spans="1:7" s="6" customFormat="1" hidden="1" x14ac:dyDescent="0.25">
      <c r="A278" s="6">
        <v>780551</v>
      </c>
      <c r="B278" s="6" t="str">
        <f>VLOOKUP(A278,SAP!$1:$1048576,2,FALSE)</f>
        <v>Klamka R-line 43mm 200 R01.1 ALV</v>
      </c>
      <c r="C278" s="6">
        <f t="shared" si="21"/>
        <v>1</v>
      </c>
      <c r="D278" s="6">
        <f>IF($D$257=3,1,IF($D$257&lt;&gt;3,0))</f>
        <v>1</v>
      </c>
      <c r="E278" s="6">
        <f>IF($E$257=1,1,IF($E$257&lt;&gt;1,0))</f>
        <v>1</v>
      </c>
      <c r="F278" s="6">
        <f t="shared" si="19"/>
        <v>1</v>
      </c>
      <c r="G278" s="6">
        <f t="shared" si="20"/>
        <v>780551</v>
      </c>
    </row>
    <row r="279" spans="1:7" s="6" customFormat="1" hidden="1" x14ac:dyDescent="0.25">
      <c r="A279" s="6">
        <v>786518</v>
      </c>
      <c r="B279" s="6" t="str">
        <f>VLOOKUP(A279,SAP!$1:$1048576,2,FALSE)</f>
        <v>Klamka R-line 43mm 200 R01.2 ALV</v>
      </c>
      <c r="C279" s="6">
        <f t="shared" si="21"/>
        <v>1</v>
      </c>
      <c r="D279" s="6">
        <f t="shared" ref="D279:D291" si="24">IF($D$257=3,1,IF($D$257&lt;&gt;3,0))</f>
        <v>1</v>
      </c>
      <c r="E279" s="6">
        <f>IF($E$257=2,1,IF($E$257&lt;&gt;2,0))</f>
        <v>0</v>
      </c>
      <c r="F279" s="6">
        <f t="shared" si="19"/>
        <v>0</v>
      </c>
      <c r="G279" s="6">
        <f t="shared" si="20"/>
        <v>0</v>
      </c>
    </row>
    <row r="280" spans="1:7" s="6" customFormat="1" hidden="1" x14ac:dyDescent="0.25">
      <c r="A280" s="6">
        <v>780580</v>
      </c>
      <c r="B280" s="6" t="str">
        <f>VLOOKUP(A280,SAP!$1:$1048576,2,FALSE)</f>
        <v>Klamka R-line 43mm 200 R01.3 ALV</v>
      </c>
      <c r="C280" s="6">
        <f t="shared" si="21"/>
        <v>1</v>
      </c>
      <c r="D280" s="6">
        <f t="shared" si="24"/>
        <v>1</v>
      </c>
      <c r="E280" s="6">
        <f>IF($E$257=3,1,IF($E$257&lt;&gt;3,0))</f>
        <v>0</v>
      </c>
      <c r="F280" s="6">
        <f t="shared" si="19"/>
        <v>0</v>
      </c>
      <c r="G280" s="6">
        <f t="shared" si="20"/>
        <v>0</v>
      </c>
    </row>
    <row r="281" spans="1:7" s="6" customFormat="1" hidden="1" x14ac:dyDescent="0.25">
      <c r="A281" s="6">
        <v>786672</v>
      </c>
      <c r="B281" s="6" t="str">
        <f>VLOOKUP(A281,SAP!$1:$1048576,2,FALSE)</f>
        <v>Klamka R-line 43mm 200 R01.5 ALV</v>
      </c>
      <c r="C281" s="6">
        <f t="shared" si="21"/>
        <v>1</v>
      </c>
      <c r="D281" s="6">
        <f t="shared" si="24"/>
        <v>1</v>
      </c>
      <c r="E281" s="6">
        <f>IF($E$257=4,1,IF($E$257&lt;&gt;4,0))</f>
        <v>0</v>
      </c>
      <c r="F281" s="6">
        <f t="shared" si="19"/>
        <v>0</v>
      </c>
      <c r="G281" s="6">
        <f t="shared" si="20"/>
        <v>0</v>
      </c>
    </row>
    <row r="282" spans="1:7" s="6" customFormat="1" hidden="1" x14ac:dyDescent="0.25">
      <c r="A282" s="37">
        <v>820797</v>
      </c>
      <c r="B282" s="6" t="str">
        <f>VLOOKUP(A282,SAP!$1:$1048576,2,FALSE)</f>
        <v>Klamka R-line 43mm 200 R02.2 ALV</v>
      </c>
      <c r="C282" s="6">
        <f t="shared" si="21"/>
        <v>1</v>
      </c>
      <c r="D282" s="6">
        <f t="shared" si="24"/>
        <v>1</v>
      </c>
      <c r="E282" s="6">
        <f>IF($E$257=5,1,IF($E$257&lt;&gt;5,0))</f>
        <v>0</v>
      </c>
      <c r="F282" s="6">
        <f t="shared" ref="F282" si="25">C282*D282*E282</f>
        <v>0</v>
      </c>
      <c r="G282" s="6">
        <f t="shared" ref="G282" si="26">F282*A282</f>
        <v>0</v>
      </c>
    </row>
    <row r="283" spans="1:7" s="6" customFormat="1" hidden="1" x14ac:dyDescent="0.25">
      <c r="A283" s="6">
        <v>780581</v>
      </c>
      <c r="B283" s="6" t="str">
        <f>VLOOKUP(A283,SAP!$1:$1048576,2,FALSE)</f>
        <v>Klamka R-line 43mm 200 R05.3 ALV</v>
      </c>
      <c r="C283" s="6">
        <f t="shared" si="21"/>
        <v>1</v>
      </c>
      <c r="D283" s="6">
        <f t="shared" si="24"/>
        <v>1</v>
      </c>
      <c r="E283" s="6">
        <f>IF($E$257=6,1,IF($E$257&lt;&gt;6,0))</f>
        <v>0</v>
      </c>
      <c r="F283" s="6">
        <f t="shared" si="19"/>
        <v>0</v>
      </c>
      <c r="G283" s="6">
        <f t="shared" si="20"/>
        <v>0</v>
      </c>
    </row>
    <row r="284" spans="1:7" s="6" customFormat="1" hidden="1" x14ac:dyDescent="0.25">
      <c r="A284" s="6">
        <v>780582</v>
      </c>
      <c r="B284" s="6" t="str">
        <f>VLOOKUP(A284,SAP!$1:$1048576,2,FALSE)</f>
        <v>Klamka R-line 43mm 200 R05.4 ALV</v>
      </c>
      <c r="C284" s="6">
        <f t="shared" si="21"/>
        <v>1</v>
      </c>
      <c r="D284" s="6">
        <f t="shared" si="24"/>
        <v>1</v>
      </c>
      <c r="E284" s="6">
        <f>IF($E$257=7,1,IF($E$257&lt;&gt;7,0))</f>
        <v>0</v>
      </c>
      <c r="F284" s="6">
        <f t="shared" si="19"/>
        <v>0</v>
      </c>
      <c r="G284" s="6">
        <f t="shared" si="20"/>
        <v>0</v>
      </c>
    </row>
    <row r="285" spans="1:7" s="6" customFormat="1" hidden="1" x14ac:dyDescent="0.25">
      <c r="A285" s="6">
        <v>780583</v>
      </c>
      <c r="B285" s="6" t="str">
        <f>VLOOKUP(A285,SAP!$1:$1048576,2,FALSE)</f>
        <v>Klamka R-line 43mm 200 R05.5 ALV</v>
      </c>
      <c r="C285" s="6">
        <f t="shared" si="21"/>
        <v>1</v>
      </c>
      <c r="D285" s="6">
        <f t="shared" si="24"/>
        <v>1</v>
      </c>
      <c r="E285" s="6">
        <f>IF($E$257=8,1,IF($E$257&lt;&gt;8,0))</f>
        <v>0</v>
      </c>
      <c r="F285" s="6">
        <f t="shared" si="19"/>
        <v>0</v>
      </c>
      <c r="G285" s="6">
        <f t="shared" si="20"/>
        <v>0</v>
      </c>
    </row>
    <row r="286" spans="1:7" s="6" customFormat="1" hidden="1" x14ac:dyDescent="0.25">
      <c r="A286" s="6">
        <v>786716</v>
      </c>
      <c r="B286" s="6" t="str">
        <f>VLOOKUP(A286,SAP!$1:$1048576,2,FALSE)</f>
        <v>Klamka R-line 43mm 200 R06.2M ALV</v>
      </c>
      <c r="C286" s="6">
        <f t="shared" si="21"/>
        <v>1</v>
      </c>
      <c r="D286" s="6">
        <f t="shared" si="24"/>
        <v>1</v>
      </c>
      <c r="E286" s="6">
        <f>IF($E$257=9,1,IF($E$257&lt;&gt;9,0))</f>
        <v>0</v>
      </c>
      <c r="F286" s="6">
        <f t="shared" si="19"/>
        <v>0</v>
      </c>
      <c r="G286" s="6">
        <f t="shared" si="20"/>
        <v>0</v>
      </c>
    </row>
    <row r="287" spans="1:7" s="6" customFormat="1" hidden="1" x14ac:dyDescent="0.25">
      <c r="A287" s="6">
        <v>780584</v>
      </c>
      <c r="B287" s="6" t="str">
        <f>VLOOKUP(A287,SAP!$1:$1048576,2,FALSE)</f>
        <v>Klamka R-line 43mm 200 R07.2 ALV</v>
      </c>
      <c r="C287" s="6">
        <f t="shared" si="21"/>
        <v>1</v>
      </c>
      <c r="D287" s="6">
        <f t="shared" si="24"/>
        <v>1</v>
      </c>
      <c r="E287" s="6">
        <f>IF($E$257=10,1,IF($E$257&lt;&gt;10,0))</f>
        <v>0</v>
      </c>
      <c r="F287" s="6">
        <f t="shared" si="19"/>
        <v>0</v>
      </c>
      <c r="G287" s="6">
        <f t="shared" si="20"/>
        <v>0</v>
      </c>
    </row>
    <row r="288" spans="1:7" s="6" customFormat="1" hidden="1" x14ac:dyDescent="0.25">
      <c r="A288" s="6">
        <v>780585</v>
      </c>
      <c r="B288" s="6" t="str">
        <f>VLOOKUP(A288,SAP!$1:$1048576,2,FALSE)</f>
        <v>Klamka R-line 43mm 200 R07.3 ALV</v>
      </c>
      <c r="C288" s="6">
        <f t="shared" si="21"/>
        <v>1</v>
      </c>
      <c r="D288" s="6">
        <f t="shared" si="24"/>
        <v>1</v>
      </c>
      <c r="E288" s="6">
        <f>IF($E$257=11,1,IF($E$257&lt;&gt;11,0))</f>
        <v>0</v>
      </c>
      <c r="F288" s="6">
        <f t="shared" si="19"/>
        <v>0</v>
      </c>
      <c r="G288" s="6">
        <f t="shared" si="20"/>
        <v>0</v>
      </c>
    </row>
    <row r="289" spans="1:7" s="6" customFormat="1" hidden="1" x14ac:dyDescent="0.25">
      <c r="A289" s="116">
        <v>798992</v>
      </c>
      <c r="B289" s="6" t="str">
        <f>VLOOKUP(A289,SAP!$1:$1048576,2,FALSE)</f>
        <v>Klamka R-line/przycisk 43mm 200R01.1PIN</v>
      </c>
      <c r="C289" s="6">
        <f>IF($C$257=2,1,IF($C$257&lt;&gt;2,0))</f>
        <v>0</v>
      </c>
      <c r="D289" s="6">
        <f t="shared" si="24"/>
        <v>1</v>
      </c>
      <c r="E289" s="6">
        <f>IF($E$257=1,1,IF($E$257&lt;&gt;1,0))</f>
        <v>1</v>
      </c>
      <c r="F289" s="6">
        <f t="shared" ref="F289:F291" si="27">C289*D289*E289</f>
        <v>0</v>
      </c>
      <c r="G289" s="6">
        <f t="shared" ref="G289:G291" si="28">F289*A289</f>
        <v>0</v>
      </c>
    </row>
    <row r="290" spans="1:7" s="6" customFormat="1" hidden="1" x14ac:dyDescent="0.25">
      <c r="A290" s="116">
        <v>798993</v>
      </c>
      <c r="B290" s="6" t="str">
        <f>VLOOKUP(A290,SAP!$1:$1048576,2,FALSE)</f>
        <v>Klamka R-line/przycisk 43mm 200R06.2MPIN</v>
      </c>
      <c r="C290" s="6">
        <f>IF($C$257=2,1,IF($C$257&lt;&gt;2,0))</f>
        <v>0</v>
      </c>
      <c r="D290" s="6">
        <f t="shared" si="24"/>
        <v>1</v>
      </c>
      <c r="E290" s="6">
        <f>IF($E$257=9,1,IF($E$257&lt;&gt;9,0))</f>
        <v>0</v>
      </c>
      <c r="F290" s="6">
        <f t="shared" si="27"/>
        <v>0</v>
      </c>
      <c r="G290" s="6">
        <f t="shared" si="28"/>
        <v>0</v>
      </c>
    </row>
    <row r="291" spans="1:7" s="6" customFormat="1" hidden="1" x14ac:dyDescent="0.25">
      <c r="A291" s="116">
        <v>798994</v>
      </c>
      <c r="B291" s="6" t="str">
        <f>VLOOKUP(A291,SAP!$1:$1048576,2,FALSE)</f>
        <v>Klamka R-line/przycisk 43mm 200R07.2PIN</v>
      </c>
      <c r="C291" s="6">
        <f>IF($C$257=2,1,IF($C$257&lt;&gt;2,0))</f>
        <v>0</v>
      </c>
      <c r="D291" s="6">
        <f t="shared" si="24"/>
        <v>1</v>
      </c>
      <c r="E291" s="6">
        <f>IF($E$257=10,1,IF($E$257&lt;&gt;10,0))</f>
        <v>0</v>
      </c>
      <c r="F291" s="6">
        <f t="shared" si="27"/>
        <v>0</v>
      </c>
      <c r="G291" s="6">
        <f t="shared" si="28"/>
        <v>0</v>
      </c>
    </row>
    <row r="292" spans="1:7" s="6" customFormat="1" hidden="1" x14ac:dyDescent="0.25">
      <c r="A292" s="6">
        <v>786719</v>
      </c>
      <c r="B292" s="6" t="str">
        <f>VLOOKUP(A292,SAP!$1:$1048576,2,FALSE)</f>
        <v>Klamka R-line/klucz100Nm32mm200R01.1ALV</v>
      </c>
      <c r="C292" s="6">
        <f>IF($C$257=3,1,IF($C$257&lt;&gt;3,0))</f>
        <v>0</v>
      </c>
      <c r="D292" s="6">
        <f>IF($D$257=1,1,IF($D$257&lt;&gt;1,0))</f>
        <v>0</v>
      </c>
      <c r="E292" s="6">
        <f>IF($E$257=1,1,IF($E$257&lt;&gt;1,0))</f>
        <v>1</v>
      </c>
      <c r="F292" s="6">
        <f t="shared" si="19"/>
        <v>0</v>
      </c>
      <c r="G292" s="6">
        <f t="shared" si="20"/>
        <v>0</v>
      </c>
    </row>
    <row r="293" spans="1:7" s="6" customFormat="1" hidden="1" x14ac:dyDescent="0.25">
      <c r="A293" s="6">
        <v>786720</v>
      </c>
      <c r="B293" s="6" t="str">
        <f>VLOOKUP(A293,SAP!$1:$1048576,2,FALSE)</f>
        <v>Klamka R-line/klucz100Nm32mm200R01.2ALV</v>
      </c>
      <c r="C293" s="6">
        <f>IF($C$257=3,1,IF($C$257&lt;&gt;3,0))</f>
        <v>0</v>
      </c>
      <c r="D293" s="6">
        <f t="shared" ref="D293:D301" si="29">IF($D$257=1,1,IF($D$257&lt;&gt;1,0))</f>
        <v>0</v>
      </c>
      <c r="E293" s="6">
        <f>IF($E$257=2,1,IF($E$257&lt;&gt;2,0))</f>
        <v>0</v>
      </c>
      <c r="F293" s="6">
        <f t="shared" si="19"/>
        <v>0</v>
      </c>
      <c r="G293" s="6">
        <f t="shared" si="20"/>
        <v>0</v>
      </c>
    </row>
    <row r="294" spans="1:7" s="6" customFormat="1" hidden="1" x14ac:dyDescent="0.25">
      <c r="A294" s="6">
        <v>786732</v>
      </c>
      <c r="B294" s="6" t="str">
        <f>VLOOKUP(A294,SAP!$1:$1048576,2,FALSE)</f>
        <v>Klamka R-line/klucz100Nm32mm200R01.3ALV</v>
      </c>
      <c r="C294" s="6">
        <f>IF($C$257=3,1,IF($C$257&lt;&gt;3,0))</f>
        <v>0</v>
      </c>
      <c r="D294" s="6">
        <f t="shared" si="29"/>
        <v>0</v>
      </c>
      <c r="E294" s="6">
        <f>IF($E$257=3,1,IF($E$257&lt;&gt;3,0))</f>
        <v>0</v>
      </c>
      <c r="F294" s="6">
        <f t="shared" ref="F294:F327" si="30">C294*D294*E294</f>
        <v>0</v>
      </c>
      <c r="G294" s="6">
        <f t="shared" ref="G294:G327" si="31">F294*A294</f>
        <v>0</v>
      </c>
    </row>
    <row r="295" spans="1:7" s="6" customFormat="1" hidden="1" x14ac:dyDescent="0.25">
      <c r="A295" s="6">
        <v>786733</v>
      </c>
      <c r="B295" s="6" t="str">
        <f>VLOOKUP(A295,SAP!$1:$1048576,2,FALSE)</f>
        <v>Klamka R-line/klucz100Nm32mm200R01.5ALV</v>
      </c>
      <c r="C295" s="6">
        <f t="shared" ref="C295:C322" si="32">IF($C$257=3,1,IF($C$257&lt;&gt;3,0))</f>
        <v>0</v>
      </c>
      <c r="D295" s="6">
        <f t="shared" si="29"/>
        <v>0</v>
      </c>
      <c r="E295" s="6">
        <f>IF($E$257=4,1,IF($E$257&lt;&gt;4,0))</f>
        <v>0</v>
      </c>
      <c r="F295" s="6">
        <f t="shared" si="30"/>
        <v>0</v>
      </c>
      <c r="G295" s="6">
        <f t="shared" si="31"/>
        <v>0</v>
      </c>
    </row>
    <row r="296" spans="1:7" s="6" customFormat="1" hidden="1" x14ac:dyDescent="0.25">
      <c r="A296" s="6">
        <v>786397</v>
      </c>
      <c r="B296" s="6" t="str">
        <f>VLOOKUP(A296,SAP!$1:$1048576,2,FALSE)</f>
        <v>Klamka R-line/klucz100Nm32mm200R05.3ALV</v>
      </c>
      <c r="C296" s="6">
        <f t="shared" si="32"/>
        <v>0</v>
      </c>
      <c r="D296" s="6">
        <f t="shared" si="29"/>
        <v>0</v>
      </c>
      <c r="E296" s="6">
        <f>IF($E$257=5,1,IF($E$257&lt;&gt;5,0))</f>
        <v>0</v>
      </c>
      <c r="F296" s="6">
        <f t="shared" si="30"/>
        <v>0</v>
      </c>
      <c r="G296" s="6">
        <f t="shared" si="31"/>
        <v>0</v>
      </c>
    </row>
    <row r="297" spans="1:7" s="6" customFormat="1" hidden="1" x14ac:dyDescent="0.25">
      <c r="A297" s="6">
        <v>786398</v>
      </c>
      <c r="B297" s="6" t="str">
        <f>VLOOKUP(A297,SAP!$1:$1048576,2,FALSE)</f>
        <v>Klamka R-line/klucz100Nm32mm200R05.4ALV</v>
      </c>
      <c r="C297" s="6">
        <f t="shared" si="32"/>
        <v>0</v>
      </c>
      <c r="D297" s="6">
        <f t="shared" si="29"/>
        <v>0</v>
      </c>
      <c r="E297" s="6">
        <f>IF($E$257=6,1,IF($E$257&lt;&gt;6,0))</f>
        <v>0</v>
      </c>
      <c r="F297" s="6">
        <f t="shared" si="30"/>
        <v>0</v>
      </c>
      <c r="G297" s="6">
        <f t="shared" si="31"/>
        <v>0</v>
      </c>
    </row>
    <row r="298" spans="1:7" s="6" customFormat="1" hidden="1" x14ac:dyDescent="0.25">
      <c r="A298" s="6">
        <v>787000</v>
      </c>
      <c r="B298" s="6" t="str">
        <f>VLOOKUP(A298,SAP!$1:$1048576,2,FALSE)</f>
        <v>Klamka R-line/klucz100Nm32mm200R05.5ALV</v>
      </c>
      <c r="C298" s="6">
        <f t="shared" si="32"/>
        <v>0</v>
      </c>
      <c r="D298" s="6">
        <f t="shared" si="29"/>
        <v>0</v>
      </c>
      <c r="E298" s="6">
        <f>IF($E$257=7,1,IF($E$257&lt;&gt;7,0))</f>
        <v>0</v>
      </c>
      <c r="F298" s="6">
        <f t="shared" si="30"/>
        <v>0</v>
      </c>
      <c r="G298" s="6">
        <f t="shared" si="31"/>
        <v>0</v>
      </c>
    </row>
    <row r="299" spans="1:7" s="6" customFormat="1" hidden="1" x14ac:dyDescent="0.25">
      <c r="A299" s="6">
        <v>787002</v>
      </c>
      <c r="B299" s="6" t="str">
        <f>VLOOKUP(A299,SAP!$1:$1048576,2,FALSE)</f>
        <v>Klamka R-line/klucz100Nm32mm200R06.2MALV</v>
      </c>
      <c r="C299" s="6">
        <f t="shared" si="32"/>
        <v>0</v>
      </c>
      <c r="D299" s="6">
        <f t="shared" si="29"/>
        <v>0</v>
      </c>
      <c r="E299" s="6">
        <f>IF($E$257=8,1,IF($E$257&lt;&gt;8,0))</f>
        <v>0</v>
      </c>
      <c r="F299" s="6">
        <f t="shared" si="30"/>
        <v>0</v>
      </c>
      <c r="G299" s="6">
        <f t="shared" si="31"/>
        <v>0</v>
      </c>
    </row>
    <row r="300" spans="1:7" s="6" customFormat="1" hidden="1" x14ac:dyDescent="0.25">
      <c r="A300" s="6">
        <v>786399</v>
      </c>
      <c r="B300" s="6" t="str">
        <f>VLOOKUP(A300,SAP!$1:$1048576,2,FALSE)</f>
        <v>Klamka R-line/klucz100Nm32mm200R07.2ALV</v>
      </c>
      <c r="C300" s="6">
        <f t="shared" si="32"/>
        <v>0</v>
      </c>
      <c r="D300" s="6">
        <f t="shared" si="29"/>
        <v>0</v>
      </c>
      <c r="E300" s="6">
        <f>IF($E$257=9,1,IF($E$257&lt;&gt;9,0))</f>
        <v>0</v>
      </c>
      <c r="F300" s="6">
        <f t="shared" si="30"/>
        <v>0</v>
      </c>
      <c r="G300" s="6">
        <f t="shared" si="31"/>
        <v>0</v>
      </c>
    </row>
    <row r="301" spans="1:7" s="6" customFormat="1" hidden="1" x14ac:dyDescent="0.25">
      <c r="A301" s="6">
        <v>787001</v>
      </c>
      <c r="B301" s="6" t="str">
        <f>VLOOKUP(A301,SAP!$1:$1048576,2,FALSE)</f>
        <v>Klamka R-line/klucz100Nm32mm200R07.3ALV</v>
      </c>
      <c r="C301" s="6">
        <f t="shared" si="32"/>
        <v>0</v>
      </c>
      <c r="D301" s="6">
        <f t="shared" si="29"/>
        <v>0</v>
      </c>
      <c r="E301" s="6">
        <f>IF($E$257=10,1,IF($E$257&lt;&gt;10,0))</f>
        <v>0</v>
      </c>
      <c r="F301" s="6">
        <f t="shared" si="30"/>
        <v>0</v>
      </c>
      <c r="G301" s="6">
        <f t="shared" si="31"/>
        <v>0</v>
      </c>
    </row>
    <row r="302" spans="1:7" s="6" customFormat="1" hidden="1" x14ac:dyDescent="0.25">
      <c r="A302" s="6">
        <v>780586</v>
      </c>
      <c r="B302" s="6" t="str">
        <f>VLOOKUP(A302,SAP!$1:$1048576,2,FALSE)</f>
        <v>Klamka R-line/klucz100Nm37mm200R01.1ALV</v>
      </c>
      <c r="C302" s="6">
        <f t="shared" si="32"/>
        <v>0</v>
      </c>
      <c r="D302" s="6">
        <f>IF($D$257=2,1,IF($D$257&lt;&gt;2,0))</f>
        <v>0</v>
      </c>
      <c r="E302" s="6">
        <f>IF($E$257=1,1,IF($E$257&lt;&gt;1,0))</f>
        <v>1</v>
      </c>
      <c r="F302" s="6">
        <f t="shared" si="30"/>
        <v>0</v>
      </c>
      <c r="G302" s="6">
        <f t="shared" si="31"/>
        <v>0</v>
      </c>
    </row>
    <row r="303" spans="1:7" s="6" customFormat="1" hidden="1" x14ac:dyDescent="0.25">
      <c r="A303" s="6">
        <v>786396</v>
      </c>
      <c r="B303" s="6" t="str">
        <f>VLOOKUP(A303,SAP!$1:$1048576,2,FALSE)</f>
        <v>Klamka R-line/klucz100Nm37mm200R01.2ALV</v>
      </c>
      <c r="C303" s="6">
        <f t="shared" si="32"/>
        <v>0</v>
      </c>
      <c r="D303" s="6">
        <f t="shared" ref="D303:D311" si="33">IF($D$257=2,1,IF($D$257&lt;&gt;2,0))</f>
        <v>0</v>
      </c>
      <c r="E303" s="6">
        <f>IF($E$257=2,1,IF($E$257&lt;&gt;2,0))</f>
        <v>0</v>
      </c>
      <c r="F303" s="6">
        <f t="shared" si="30"/>
        <v>0</v>
      </c>
      <c r="G303" s="6">
        <f t="shared" si="31"/>
        <v>0</v>
      </c>
    </row>
    <row r="304" spans="1:7" s="6" customFormat="1" hidden="1" x14ac:dyDescent="0.25">
      <c r="A304" s="6">
        <v>780587</v>
      </c>
      <c r="B304" s="6" t="str">
        <f>VLOOKUP(A304,SAP!$1:$1048576,2,FALSE)</f>
        <v>Klamka R-line/klucz100Nm37mm200R01.3ALV</v>
      </c>
      <c r="C304" s="6">
        <f t="shared" si="32"/>
        <v>0</v>
      </c>
      <c r="D304" s="6">
        <f t="shared" si="33"/>
        <v>0</v>
      </c>
      <c r="E304" s="6">
        <f>IF($E$257=3,1,IF($E$257&lt;&gt;3,0))</f>
        <v>0</v>
      </c>
      <c r="F304" s="6">
        <f t="shared" si="30"/>
        <v>0</v>
      </c>
      <c r="G304" s="6">
        <f t="shared" si="31"/>
        <v>0</v>
      </c>
    </row>
    <row r="305" spans="1:7" s="6" customFormat="1" hidden="1" x14ac:dyDescent="0.25">
      <c r="A305" s="6">
        <v>786734</v>
      </c>
      <c r="B305" s="6" t="str">
        <f>VLOOKUP(A305,SAP!$1:$1048576,2,FALSE)</f>
        <v>Klamka R-line/klucz100Nm37mm200R01.5ALV</v>
      </c>
      <c r="C305" s="6">
        <f t="shared" si="32"/>
        <v>0</v>
      </c>
      <c r="D305" s="6">
        <f t="shared" si="33"/>
        <v>0</v>
      </c>
      <c r="E305" s="6">
        <f>IF($E$257=4,1,IF($E$257&lt;&gt;4,0))</f>
        <v>0</v>
      </c>
      <c r="F305" s="6">
        <f t="shared" si="30"/>
        <v>0</v>
      </c>
      <c r="G305" s="6">
        <f t="shared" si="31"/>
        <v>0</v>
      </c>
    </row>
    <row r="306" spans="1:7" s="6" customFormat="1" hidden="1" x14ac:dyDescent="0.25">
      <c r="A306" s="6">
        <v>780588</v>
      </c>
      <c r="B306" s="6" t="str">
        <f>VLOOKUP(A306,SAP!$1:$1048576,2,FALSE)</f>
        <v>Klamka R-line/klucz100Nm37mm200R05.3ALV</v>
      </c>
      <c r="C306" s="6">
        <f t="shared" si="32"/>
        <v>0</v>
      </c>
      <c r="D306" s="6">
        <f t="shared" si="33"/>
        <v>0</v>
      </c>
      <c r="E306" s="6">
        <f>IF($E$257=5,1,IF($E$257&lt;&gt;5,0))</f>
        <v>0</v>
      </c>
      <c r="F306" s="6">
        <f t="shared" si="30"/>
        <v>0</v>
      </c>
      <c r="G306" s="6">
        <f t="shared" si="31"/>
        <v>0</v>
      </c>
    </row>
    <row r="307" spans="1:7" s="6" customFormat="1" hidden="1" x14ac:dyDescent="0.25">
      <c r="A307" s="6">
        <v>780589</v>
      </c>
      <c r="B307" s="6" t="str">
        <f>VLOOKUP(A307,SAP!$1:$1048576,2,FALSE)</f>
        <v>Klamka R-line/klucz100Nm37mm200R05.4ALV</v>
      </c>
      <c r="C307" s="6">
        <f t="shared" si="32"/>
        <v>0</v>
      </c>
      <c r="D307" s="6">
        <f t="shared" si="33"/>
        <v>0</v>
      </c>
      <c r="E307" s="6">
        <f>IF($E$257=6,1,IF($E$257&lt;&gt;6,0))</f>
        <v>0</v>
      </c>
      <c r="F307" s="6">
        <f t="shared" si="30"/>
        <v>0</v>
      </c>
      <c r="G307" s="6">
        <f t="shared" si="31"/>
        <v>0</v>
      </c>
    </row>
    <row r="308" spans="1:7" s="6" customFormat="1" hidden="1" x14ac:dyDescent="0.25">
      <c r="A308" s="6">
        <v>780590</v>
      </c>
      <c r="B308" s="6" t="str">
        <f>VLOOKUP(A308,SAP!$1:$1048576,2,FALSE)</f>
        <v>Klamka R-line/klucz100Nm37mm200R05.5ALV</v>
      </c>
      <c r="C308" s="6">
        <f t="shared" si="32"/>
        <v>0</v>
      </c>
      <c r="D308" s="6">
        <f t="shared" si="33"/>
        <v>0</v>
      </c>
      <c r="E308" s="6">
        <f>IF($E$257=7,1,IF($E$257&lt;&gt;7,0))</f>
        <v>0</v>
      </c>
      <c r="F308" s="6">
        <f t="shared" si="30"/>
        <v>0</v>
      </c>
      <c r="G308" s="6">
        <f t="shared" si="31"/>
        <v>0</v>
      </c>
    </row>
    <row r="309" spans="1:7" s="6" customFormat="1" hidden="1" x14ac:dyDescent="0.25">
      <c r="A309" s="6">
        <v>787003</v>
      </c>
      <c r="B309" s="6" t="str">
        <f>VLOOKUP(A309,SAP!$1:$1048576,2,FALSE)</f>
        <v>Klamka R-line/klucz100Nm37mm200R06.2MALV</v>
      </c>
      <c r="C309" s="6">
        <f t="shared" si="32"/>
        <v>0</v>
      </c>
      <c r="D309" s="6">
        <f t="shared" si="33"/>
        <v>0</v>
      </c>
      <c r="E309" s="6">
        <f>IF($E$257=8,1,IF($E$257&lt;&gt;8,0))</f>
        <v>0</v>
      </c>
      <c r="F309" s="6">
        <f t="shared" si="30"/>
        <v>0</v>
      </c>
      <c r="G309" s="6">
        <f t="shared" si="31"/>
        <v>0</v>
      </c>
    </row>
    <row r="310" spans="1:7" s="6" customFormat="1" hidden="1" x14ac:dyDescent="0.25">
      <c r="A310" s="6">
        <v>780591</v>
      </c>
      <c r="B310" s="6" t="str">
        <f>VLOOKUP(A310,SAP!$1:$1048576,2,FALSE)</f>
        <v>Klamka R-line/klucz100Nm37mm200R07.2ALV</v>
      </c>
      <c r="C310" s="6">
        <f t="shared" si="32"/>
        <v>0</v>
      </c>
      <c r="D310" s="6">
        <f t="shared" si="33"/>
        <v>0</v>
      </c>
      <c r="E310" s="6">
        <f>IF($E$257=9,1,IF($E$257&lt;&gt;9,0))</f>
        <v>0</v>
      </c>
      <c r="F310" s="6">
        <f t="shared" si="30"/>
        <v>0</v>
      </c>
      <c r="G310" s="6">
        <f t="shared" si="31"/>
        <v>0</v>
      </c>
    </row>
    <row r="311" spans="1:7" s="6" customFormat="1" hidden="1" x14ac:dyDescent="0.25">
      <c r="A311" s="6">
        <v>780592</v>
      </c>
      <c r="B311" s="6" t="str">
        <f>VLOOKUP(A311,SAP!$1:$1048576,2,FALSE)</f>
        <v>Klamka R-line/klucz100Nm37mm200R07.3ALV</v>
      </c>
      <c r="C311" s="6">
        <f t="shared" si="32"/>
        <v>0</v>
      </c>
      <c r="D311" s="6">
        <f t="shared" si="33"/>
        <v>0</v>
      </c>
      <c r="E311" s="6">
        <f>IF($E$257=10,1,IF($E$257&lt;&gt;10,0))</f>
        <v>0</v>
      </c>
      <c r="F311" s="6">
        <f t="shared" si="30"/>
        <v>0</v>
      </c>
      <c r="G311" s="6">
        <f t="shared" si="31"/>
        <v>0</v>
      </c>
    </row>
    <row r="312" spans="1:7" s="6" customFormat="1" hidden="1" x14ac:dyDescent="0.25">
      <c r="A312" s="6">
        <v>780593</v>
      </c>
      <c r="B312" s="6" t="str">
        <f>VLOOKUP(A312,SAP!$1:$1048576,2,FALSE)</f>
        <v>Klamka R-line/klucz100Nm43mm200R01.1ALV</v>
      </c>
      <c r="C312" s="6">
        <f t="shared" si="32"/>
        <v>0</v>
      </c>
      <c r="D312" s="6">
        <f>IF($D$257=3,1,IF($D$257&lt;&gt;3,0))</f>
        <v>1</v>
      </c>
      <c r="E312" s="6">
        <f>IF($E$257=1,1,IF($E$257&lt;&gt;1,0))</f>
        <v>1</v>
      </c>
      <c r="F312" s="6">
        <f t="shared" si="30"/>
        <v>0</v>
      </c>
      <c r="G312" s="6">
        <f t="shared" si="31"/>
        <v>0</v>
      </c>
    </row>
    <row r="313" spans="1:7" s="6" customFormat="1" hidden="1" x14ac:dyDescent="0.25">
      <c r="A313" s="6">
        <v>786730</v>
      </c>
      <c r="B313" s="6" t="str">
        <f>VLOOKUP(A313,SAP!$1:$1048576,2,FALSE)</f>
        <v>Klamka R-line/klucz100Nm43mm200R01.2ALV</v>
      </c>
      <c r="C313" s="6">
        <f t="shared" si="32"/>
        <v>0</v>
      </c>
      <c r="D313" s="6">
        <f t="shared" ref="D313:D322" si="34">IF($D$257=3,1,IF($D$257&lt;&gt;3,0))</f>
        <v>1</v>
      </c>
      <c r="E313" s="6">
        <f>IF($E$257=2,1,IF($E$257&lt;&gt;2,0))</f>
        <v>0</v>
      </c>
      <c r="F313" s="6">
        <f t="shared" si="30"/>
        <v>0</v>
      </c>
      <c r="G313" s="6">
        <f t="shared" si="31"/>
        <v>0</v>
      </c>
    </row>
    <row r="314" spans="1:7" s="6" customFormat="1" hidden="1" x14ac:dyDescent="0.25">
      <c r="A314" s="6">
        <v>780594</v>
      </c>
      <c r="B314" s="6" t="str">
        <f>VLOOKUP(A314,SAP!$1:$1048576,2,FALSE)</f>
        <v>Klamka R-line/klucz100Nm43mm200R01.3ALV</v>
      </c>
      <c r="C314" s="6">
        <f t="shared" si="32"/>
        <v>0</v>
      </c>
      <c r="D314" s="6">
        <f t="shared" si="34"/>
        <v>1</v>
      </c>
      <c r="E314" s="6">
        <f>IF($E$257=3,1,IF($E$257&lt;&gt;3,0))</f>
        <v>0</v>
      </c>
      <c r="F314" s="6">
        <f t="shared" si="30"/>
        <v>0</v>
      </c>
      <c r="G314" s="6">
        <f t="shared" si="31"/>
        <v>0</v>
      </c>
    </row>
    <row r="315" spans="1:7" s="6" customFormat="1" hidden="1" x14ac:dyDescent="0.25">
      <c r="A315" s="6">
        <v>786755</v>
      </c>
      <c r="B315" s="6" t="str">
        <f>VLOOKUP(A315,SAP!$1:$1048576,2,FALSE)</f>
        <v>Klamka R-line/klucz100Nm43mm200R01.5ALV</v>
      </c>
      <c r="C315" s="6">
        <f t="shared" si="32"/>
        <v>0</v>
      </c>
      <c r="D315" s="6">
        <f t="shared" si="34"/>
        <v>1</v>
      </c>
      <c r="E315" s="6">
        <f>IF($E$257=4,1,IF($E$257&lt;&gt;4,0))</f>
        <v>0</v>
      </c>
      <c r="F315" s="6">
        <f t="shared" si="30"/>
        <v>0</v>
      </c>
      <c r="G315" s="6">
        <f t="shared" si="31"/>
        <v>0</v>
      </c>
    </row>
    <row r="316" spans="1:7" s="6" customFormat="1" hidden="1" x14ac:dyDescent="0.25">
      <c r="A316" s="37">
        <v>820798</v>
      </c>
      <c r="B316" s="6" t="str">
        <f>VLOOKUP(A316,SAP!$1:$1048576,2,FALSE)</f>
        <v>Klamka R-line/klucz100Nm43mm200R02.2ALV</v>
      </c>
      <c r="C316" s="6">
        <f t="shared" si="32"/>
        <v>0</v>
      </c>
      <c r="D316" s="6">
        <f t="shared" si="34"/>
        <v>1</v>
      </c>
      <c r="E316" s="6">
        <f>IF($E$257=5,1,IF($E$257&lt;&gt;5,0))</f>
        <v>0</v>
      </c>
      <c r="F316" s="6">
        <f t="shared" ref="F316" si="35">C316*D316*E316</f>
        <v>0</v>
      </c>
      <c r="G316" s="6">
        <f t="shared" ref="G316" si="36">F316*A316</f>
        <v>0</v>
      </c>
    </row>
    <row r="317" spans="1:7" s="6" customFormat="1" hidden="1" x14ac:dyDescent="0.25">
      <c r="A317" s="6">
        <v>780595</v>
      </c>
      <c r="B317" s="6" t="str">
        <f>VLOOKUP(A317,SAP!$1:$1048576,2,FALSE)</f>
        <v>Klamka R-line/klucz100Nm43mm200R05.3ALV</v>
      </c>
      <c r="C317" s="6">
        <f t="shared" si="32"/>
        <v>0</v>
      </c>
      <c r="D317" s="6">
        <f t="shared" si="34"/>
        <v>1</v>
      </c>
      <c r="E317" s="6">
        <f>IF($E$257=6,1,IF($E$257&lt;&gt;6,0))</f>
        <v>0</v>
      </c>
      <c r="F317" s="6">
        <f t="shared" si="30"/>
        <v>0</v>
      </c>
      <c r="G317" s="6">
        <f t="shared" si="31"/>
        <v>0</v>
      </c>
    </row>
    <row r="318" spans="1:7" s="6" customFormat="1" hidden="1" x14ac:dyDescent="0.25">
      <c r="A318" s="6">
        <v>780596</v>
      </c>
      <c r="B318" s="6" t="str">
        <f>VLOOKUP(A318,SAP!$1:$1048576,2,FALSE)</f>
        <v>Klamka R-line/klucz100Nm43mm200R05.4ALV</v>
      </c>
      <c r="C318" s="6">
        <f t="shared" si="32"/>
        <v>0</v>
      </c>
      <c r="D318" s="6">
        <f t="shared" si="34"/>
        <v>1</v>
      </c>
      <c r="E318" s="6">
        <f>IF($E$257=7,1,IF($E$257&lt;&gt;7,0))</f>
        <v>0</v>
      </c>
      <c r="F318" s="6">
        <f t="shared" si="30"/>
        <v>0</v>
      </c>
      <c r="G318" s="6">
        <f t="shared" si="31"/>
        <v>0</v>
      </c>
    </row>
    <row r="319" spans="1:7" s="6" customFormat="1" hidden="1" x14ac:dyDescent="0.25">
      <c r="A319" s="6">
        <v>780597</v>
      </c>
      <c r="B319" s="6" t="str">
        <f>VLOOKUP(A319,SAP!$1:$1048576,2,FALSE)</f>
        <v>Klamka R-line/klucz100Nm43mm200R05.5ALV</v>
      </c>
      <c r="C319" s="6">
        <f t="shared" si="32"/>
        <v>0</v>
      </c>
      <c r="D319" s="6">
        <f t="shared" si="34"/>
        <v>1</v>
      </c>
      <c r="E319" s="6">
        <f>IF($E$257=8,1,IF($E$257&lt;&gt;8,0))</f>
        <v>0</v>
      </c>
      <c r="F319" s="6">
        <f t="shared" si="30"/>
        <v>0</v>
      </c>
      <c r="G319" s="6">
        <f t="shared" si="31"/>
        <v>0</v>
      </c>
    </row>
    <row r="320" spans="1:7" s="6" customFormat="1" hidden="1" x14ac:dyDescent="0.25">
      <c r="A320" s="6">
        <v>787004</v>
      </c>
      <c r="B320" s="6" t="str">
        <f>VLOOKUP(A320,SAP!$1:$1048576,2,FALSE)</f>
        <v>Klamka R-line/klucz100Nm43mm200R06.2MALV</v>
      </c>
      <c r="C320" s="6">
        <f t="shared" si="32"/>
        <v>0</v>
      </c>
      <c r="D320" s="6">
        <f t="shared" si="34"/>
        <v>1</v>
      </c>
      <c r="E320" s="6">
        <f>IF($E$257=9,1,IF($E$257&lt;&gt;9,0))</f>
        <v>0</v>
      </c>
      <c r="F320" s="6">
        <f t="shared" si="30"/>
        <v>0</v>
      </c>
      <c r="G320" s="6">
        <f t="shared" si="31"/>
        <v>0</v>
      </c>
    </row>
    <row r="321" spans="1:7" s="6" customFormat="1" hidden="1" x14ac:dyDescent="0.25">
      <c r="A321" s="6">
        <v>780598</v>
      </c>
      <c r="B321" s="6" t="str">
        <f>VLOOKUP(A321,SAP!$1:$1048576,2,FALSE)</f>
        <v>Klamka R-line/klucz100Nm43mm200R07.2ALV</v>
      </c>
      <c r="C321" s="6">
        <f t="shared" si="32"/>
        <v>0</v>
      </c>
      <c r="D321" s="6">
        <f t="shared" si="34"/>
        <v>1</v>
      </c>
      <c r="E321" s="6">
        <f>IF($E$257=10,1,IF($E$257&lt;&gt;10,0))</f>
        <v>0</v>
      </c>
      <c r="F321" s="6">
        <f t="shared" si="30"/>
        <v>0</v>
      </c>
      <c r="G321" s="6">
        <f t="shared" si="31"/>
        <v>0</v>
      </c>
    </row>
    <row r="322" spans="1:7" s="6" customFormat="1" hidden="1" x14ac:dyDescent="0.25">
      <c r="A322" s="6">
        <v>780599</v>
      </c>
      <c r="B322" s="6" t="str">
        <f>VLOOKUP(A322,SAP!$1:$1048576,2,FALSE)</f>
        <v>Klamka R-line/klucz100Nm43mm200R07.3ALV</v>
      </c>
      <c r="C322" s="6">
        <f t="shared" si="32"/>
        <v>0</v>
      </c>
      <c r="D322" s="6">
        <f t="shared" si="34"/>
        <v>1</v>
      </c>
      <c r="E322" s="6">
        <f>IF($E$257=11,1,IF($E$257&lt;&gt;11,0))</f>
        <v>0</v>
      </c>
      <c r="F322" s="6">
        <f t="shared" si="30"/>
        <v>0</v>
      </c>
      <c r="G322" s="6">
        <f t="shared" si="31"/>
        <v>0</v>
      </c>
    </row>
    <row r="323" spans="1:7" s="6" customFormat="1" hidden="1" x14ac:dyDescent="0.25">
      <c r="A323" s="6">
        <v>786179</v>
      </c>
      <c r="B323" s="6" t="str">
        <f>VLOOKUP(A323,SAP!$1:$1048576,2,FALSE)</f>
        <v>Klamka R-lineDwustr.nisk100mm200R01.1ALV</v>
      </c>
      <c r="C323" s="6">
        <f>IF($C$257=4,1,IF($C$257&lt;&gt;4,0))</f>
        <v>0</v>
      </c>
      <c r="D323" s="6">
        <f>IF($D$257=4,1,IF($D$257&lt;&gt;4,0))</f>
        <v>0</v>
      </c>
      <c r="E323" s="6">
        <f>IF($E$257=1,1,IF($E$257&lt;&gt;1,0))</f>
        <v>1</v>
      </c>
      <c r="F323" s="6">
        <f t="shared" si="30"/>
        <v>0</v>
      </c>
      <c r="G323" s="6">
        <f t="shared" si="31"/>
        <v>0</v>
      </c>
    </row>
    <row r="324" spans="1:7" s="6" customFormat="1" hidden="1" x14ac:dyDescent="0.25">
      <c r="A324" s="6">
        <v>786221</v>
      </c>
      <c r="B324" s="6" t="str">
        <f>VLOOKUP(A324,SAP!$1:$1048576,2,FALSE)</f>
        <v>Klamka R-lineDwustr.nisk100mm200R01.5ALV</v>
      </c>
      <c r="C324" s="6">
        <f t="shared" ref="C324:C339" si="37">IF($C$257=4,1,IF($C$257&lt;&gt;4,0))</f>
        <v>0</v>
      </c>
      <c r="D324" s="6">
        <f t="shared" ref="D324:D331" si="38">IF($D$257=4,1,IF($D$257&lt;&gt;4,0))</f>
        <v>0</v>
      </c>
      <c r="E324" s="6">
        <f>IF($E$257=4,1,IF($E$257&lt;&gt;4,0))</f>
        <v>0</v>
      </c>
      <c r="F324" s="6">
        <f t="shared" si="30"/>
        <v>0</v>
      </c>
      <c r="G324" s="6">
        <f t="shared" si="31"/>
        <v>0</v>
      </c>
    </row>
    <row r="325" spans="1:7" s="6" customFormat="1" hidden="1" x14ac:dyDescent="0.25">
      <c r="A325" s="37">
        <v>820799</v>
      </c>
      <c r="B325" s="6" t="str">
        <f>VLOOKUP(A325,SAP!$1:$1048576,2,FALSE)</f>
        <v>Klamka R-lineDwustr.nisk100mm200R02.2ALV</v>
      </c>
      <c r="C325" s="6">
        <f t="shared" si="37"/>
        <v>0</v>
      </c>
      <c r="D325" s="6">
        <f t="shared" si="38"/>
        <v>0</v>
      </c>
      <c r="E325" s="6">
        <f>IF($E$257=5,1,IF($E$257&lt;&gt;5,0))</f>
        <v>0</v>
      </c>
      <c r="F325" s="6">
        <f t="shared" ref="F325" si="39">C325*D325*E325</f>
        <v>0</v>
      </c>
      <c r="G325" s="6">
        <f t="shared" ref="G325" si="40">F325*A325</f>
        <v>0</v>
      </c>
    </row>
    <row r="326" spans="1:7" s="6" customFormat="1" hidden="1" x14ac:dyDescent="0.25">
      <c r="A326" s="6">
        <v>786180</v>
      </c>
      <c r="B326" s="6" t="str">
        <f>VLOOKUP(A326,SAP!$1:$1048576,2,FALSE)</f>
        <v>Klamka R-lineDwustr.nisk100mm200R05.3ALV</v>
      </c>
      <c r="C326" s="6">
        <f t="shared" si="37"/>
        <v>0</v>
      </c>
      <c r="D326" s="6">
        <f t="shared" si="38"/>
        <v>0</v>
      </c>
      <c r="E326" s="6">
        <f>IF($E$257=6,1,IF($E$257&lt;&gt;6,0))</f>
        <v>0</v>
      </c>
      <c r="F326" s="6">
        <f t="shared" si="30"/>
        <v>0</v>
      </c>
      <c r="G326" s="6">
        <f t="shared" si="31"/>
        <v>0</v>
      </c>
    </row>
    <row r="327" spans="1:7" s="6" customFormat="1" hidden="1" x14ac:dyDescent="0.25">
      <c r="A327" s="6">
        <v>786181</v>
      </c>
      <c r="B327" s="6" t="str">
        <f>VLOOKUP(A327,SAP!$1:$1048576,2,FALSE)</f>
        <v>Klamka R-lineDwustr.nisk100mm200R05.4ALV</v>
      </c>
      <c r="C327" s="6">
        <f t="shared" si="37"/>
        <v>0</v>
      </c>
      <c r="D327" s="6">
        <f t="shared" si="38"/>
        <v>0</v>
      </c>
      <c r="E327" s="6">
        <f>IF($E$257=7,1,IF($E$257&lt;&gt;7,0))</f>
        <v>0</v>
      </c>
      <c r="F327" s="6">
        <f t="shared" si="30"/>
        <v>0</v>
      </c>
      <c r="G327" s="6">
        <f t="shared" si="31"/>
        <v>0</v>
      </c>
    </row>
    <row r="328" spans="1:7" s="6" customFormat="1" hidden="1" x14ac:dyDescent="0.25">
      <c r="A328" s="6">
        <v>786182</v>
      </c>
      <c r="B328" s="6" t="str">
        <f>VLOOKUP(A328,SAP!$1:$1048576,2,FALSE)</f>
        <v>Klamka R-lineDwustr.nisk100mm200R05.5ALV</v>
      </c>
      <c r="C328" s="6">
        <f t="shared" si="37"/>
        <v>0</v>
      </c>
      <c r="D328" s="6">
        <f t="shared" si="38"/>
        <v>0</v>
      </c>
      <c r="E328" s="6">
        <f>IF($E$257=8,1,IF($E$257&lt;&gt;8,0))</f>
        <v>0</v>
      </c>
      <c r="F328" s="6">
        <f t="shared" ref="F328:F339" si="41">C328*D328*E328</f>
        <v>0</v>
      </c>
      <c r="G328" s="6">
        <f t="shared" ref="G328:G339" si="42">F328*A328</f>
        <v>0</v>
      </c>
    </row>
    <row r="329" spans="1:7" s="6" customFormat="1" hidden="1" x14ac:dyDescent="0.25">
      <c r="A329" s="6">
        <v>786222</v>
      </c>
      <c r="B329" s="6" t="str">
        <f>VLOOKUP(A329,SAP!$1:$1048576,2,FALSE)</f>
        <v>Klamka R-lineDwustr.nisk100mm200R06.2ALV</v>
      </c>
      <c r="C329" s="6">
        <f t="shared" si="37"/>
        <v>0</v>
      </c>
      <c r="D329" s="6">
        <f t="shared" si="38"/>
        <v>0</v>
      </c>
      <c r="E329" s="6">
        <f>IF($E$257=9,1,IF($E$257&lt;&gt;9,0))</f>
        <v>0</v>
      </c>
      <c r="F329" s="6">
        <f t="shared" si="41"/>
        <v>0</v>
      </c>
      <c r="G329" s="6">
        <f t="shared" si="42"/>
        <v>0</v>
      </c>
    </row>
    <row r="330" spans="1:7" s="6" customFormat="1" hidden="1" x14ac:dyDescent="0.25">
      <c r="A330" s="6">
        <v>786183</v>
      </c>
      <c r="B330" s="6" t="str">
        <f>VLOOKUP(A330,SAP!$1:$1048576,2,FALSE)</f>
        <v>Klamka R-lineDwustr.nisk100mm200R07.2ALV</v>
      </c>
      <c r="C330" s="6">
        <f t="shared" si="37"/>
        <v>0</v>
      </c>
      <c r="D330" s="6">
        <f t="shared" si="38"/>
        <v>0</v>
      </c>
      <c r="E330" s="6">
        <f>IF($E$257=10,1,IF($E$257&lt;&gt;10,0))</f>
        <v>0</v>
      </c>
      <c r="F330" s="6">
        <f t="shared" si="41"/>
        <v>0</v>
      </c>
      <c r="G330" s="6">
        <f t="shared" si="42"/>
        <v>0</v>
      </c>
    </row>
    <row r="331" spans="1:7" s="6" customFormat="1" hidden="1" x14ac:dyDescent="0.25">
      <c r="A331" s="6">
        <v>786184</v>
      </c>
      <c r="B331" s="6" t="str">
        <f>VLOOKUP(A331,SAP!$1:$1048576,2,FALSE)</f>
        <v>Klamka R-lineDwustr.nisk100mm200R07.3ALV</v>
      </c>
      <c r="C331" s="6">
        <f t="shared" si="37"/>
        <v>0</v>
      </c>
      <c r="D331" s="6">
        <f t="shared" si="38"/>
        <v>0</v>
      </c>
      <c r="E331" s="6">
        <f>IF($E$257=11,1,IF($E$257&lt;&gt;11,0))</f>
        <v>0</v>
      </c>
      <c r="F331" s="6">
        <f t="shared" si="41"/>
        <v>0</v>
      </c>
      <c r="G331" s="6">
        <f t="shared" si="42"/>
        <v>0</v>
      </c>
    </row>
    <row r="332" spans="1:7" s="6" customFormat="1" hidden="1" x14ac:dyDescent="0.25">
      <c r="A332" s="6">
        <v>786225</v>
      </c>
      <c r="B332" s="6" t="str">
        <f>VLOOKUP(A332,SAP!$1:$1048576,2,FALSE)</f>
        <v>Klamka R-lineDwustr.nisk135mm200R01.1ALV</v>
      </c>
      <c r="C332" s="6">
        <f t="shared" si="37"/>
        <v>0</v>
      </c>
      <c r="D332" s="6">
        <f>IF($D$257=5,1,IF($D$257&lt;&gt;5,0))</f>
        <v>0</v>
      </c>
      <c r="E332" s="6">
        <f>IF($E$257=1,1,IF($E$257&lt;&gt;1,0))</f>
        <v>1</v>
      </c>
      <c r="F332" s="6">
        <f t="shared" si="41"/>
        <v>0</v>
      </c>
      <c r="G332" s="6">
        <f t="shared" si="42"/>
        <v>0</v>
      </c>
    </row>
    <row r="333" spans="1:7" s="6" customFormat="1" hidden="1" x14ac:dyDescent="0.25">
      <c r="A333" s="6">
        <v>786220</v>
      </c>
      <c r="B333" s="6" t="str">
        <f>VLOOKUP(A333,SAP!$1:$1048576,2,FALSE)</f>
        <v>Klamka R-lineDwustr.nisk135mm200R01.5ALV</v>
      </c>
      <c r="C333" s="6">
        <f t="shared" si="37"/>
        <v>0</v>
      </c>
      <c r="D333" s="6">
        <f t="shared" ref="D333:D339" si="43">IF($D$257=5,1,IF($D$257&lt;&gt;5,0))</f>
        <v>0</v>
      </c>
      <c r="E333" s="6">
        <f>IF($E$257=4,1,IF($E$257&lt;&gt;4,0))</f>
        <v>0</v>
      </c>
      <c r="F333" s="6">
        <f t="shared" si="41"/>
        <v>0</v>
      </c>
      <c r="G333" s="6">
        <f t="shared" si="42"/>
        <v>0</v>
      </c>
    </row>
    <row r="334" spans="1:7" s="6" customFormat="1" hidden="1" x14ac:dyDescent="0.25">
      <c r="A334" s="6">
        <v>786226</v>
      </c>
      <c r="B334" s="6" t="str">
        <f>VLOOKUP(A334,SAP!$1:$1048576,2,FALSE)</f>
        <v>Klamka R-lineDwustr.nisk135mm200R05.3ALV</v>
      </c>
      <c r="C334" s="6">
        <f t="shared" si="37"/>
        <v>0</v>
      </c>
      <c r="D334" s="6">
        <f t="shared" si="43"/>
        <v>0</v>
      </c>
      <c r="E334" s="6">
        <f>IF($E$257=5,1,IF($E$257&lt;&gt;5,0))</f>
        <v>0</v>
      </c>
      <c r="F334" s="6">
        <f t="shared" si="41"/>
        <v>0</v>
      </c>
      <c r="G334" s="6">
        <f t="shared" si="42"/>
        <v>0</v>
      </c>
    </row>
    <row r="335" spans="1:7" s="6" customFormat="1" hidden="1" x14ac:dyDescent="0.25">
      <c r="A335" s="6">
        <v>786227</v>
      </c>
      <c r="B335" s="6" t="str">
        <f>VLOOKUP(A335,SAP!$1:$1048576,2,FALSE)</f>
        <v>Klamka R-lineDwustr.nisk135mm200R05.4ALV</v>
      </c>
      <c r="C335" s="6">
        <f t="shared" si="37"/>
        <v>0</v>
      </c>
      <c r="D335" s="6">
        <f t="shared" si="43"/>
        <v>0</v>
      </c>
      <c r="E335" s="6">
        <f>IF($E$257=6,1,IF($E$257&lt;&gt;6,0))</f>
        <v>0</v>
      </c>
      <c r="F335" s="6">
        <f t="shared" si="41"/>
        <v>0</v>
      </c>
      <c r="G335" s="6">
        <f t="shared" si="42"/>
        <v>0</v>
      </c>
    </row>
    <row r="336" spans="1:7" s="6" customFormat="1" hidden="1" x14ac:dyDescent="0.25">
      <c r="A336" s="6">
        <v>786228</v>
      </c>
      <c r="B336" s="6" t="str">
        <f>VLOOKUP(A336,SAP!$1:$1048576,2,FALSE)</f>
        <v>Klamka R-lineDwustr.nisk135mm200R05.5ALV</v>
      </c>
      <c r="C336" s="6">
        <f t="shared" si="37"/>
        <v>0</v>
      </c>
      <c r="D336" s="6">
        <f t="shared" si="43"/>
        <v>0</v>
      </c>
      <c r="E336" s="6">
        <f>IF($E$257=7,1,IF($E$257&lt;&gt;7,0))</f>
        <v>0</v>
      </c>
      <c r="F336" s="6">
        <f t="shared" si="41"/>
        <v>0</v>
      </c>
      <c r="G336" s="6">
        <f t="shared" si="42"/>
        <v>0</v>
      </c>
    </row>
    <row r="337" spans="1:7" s="6" customFormat="1" hidden="1" x14ac:dyDescent="0.25">
      <c r="A337" s="6">
        <v>786229</v>
      </c>
      <c r="B337" s="6" t="str">
        <f>VLOOKUP(A337,SAP!$1:$1048576,2,FALSE)</f>
        <v>Klamka R-lineDwustr.nisk135mm200R06.2ALV</v>
      </c>
      <c r="C337" s="6">
        <f t="shared" si="37"/>
        <v>0</v>
      </c>
      <c r="D337" s="6">
        <f t="shared" si="43"/>
        <v>0</v>
      </c>
      <c r="E337" s="6">
        <f>IF($E$257=8,1,IF($E$257&lt;&gt;8,0))</f>
        <v>0</v>
      </c>
      <c r="F337" s="6">
        <f t="shared" si="41"/>
        <v>0</v>
      </c>
      <c r="G337" s="6">
        <f t="shared" si="42"/>
        <v>0</v>
      </c>
    </row>
    <row r="338" spans="1:7" s="6" customFormat="1" hidden="1" x14ac:dyDescent="0.25">
      <c r="A338" s="6">
        <v>786230</v>
      </c>
      <c r="B338" s="6" t="str">
        <f>VLOOKUP(A338,SAP!$1:$1048576,2,FALSE)</f>
        <v>Klamka R-lineDwustr.nisk135mm200R07.2ALV</v>
      </c>
      <c r="C338" s="6">
        <f t="shared" si="37"/>
        <v>0</v>
      </c>
      <c r="D338" s="6">
        <f t="shared" si="43"/>
        <v>0</v>
      </c>
      <c r="E338" s="6">
        <f>IF($E$257=9,1,IF($E$257&lt;&gt;9,0))</f>
        <v>0</v>
      </c>
      <c r="F338" s="6">
        <f t="shared" si="41"/>
        <v>0</v>
      </c>
      <c r="G338" s="6">
        <f t="shared" si="42"/>
        <v>0</v>
      </c>
    </row>
    <row r="339" spans="1:7" s="6" customFormat="1" hidden="1" x14ac:dyDescent="0.25">
      <c r="A339" s="6">
        <v>786219</v>
      </c>
      <c r="B339" s="6" t="str">
        <f>VLOOKUP(A339,SAP!$1:$1048576,2,FALSE)</f>
        <v>Klamka R-lineDwustr.nisk135mm200R07.3ALV</v>
      </c>
      <c r="C339" s="6">
        <f t="shared" si="37"/>
        <v>0</v>
      </c>
      <c r="D339" s="6">
        <f t="shared" si="43"/>
        <v>0</v>
      </c>
      <c r="E339" s="6">
        <f>IF($E$257=10,1,IF($E$257&lt;&gt;10,0))</f>
        <v>0</v>
      </c>
      <c r="F339" s="6">
        <f t="shared" si="41"/>
        <v>0</v>
      </c>
      <c r="G339" s="6">
        <f t="shared" si="42"/>
        <v>0</v>
      </c>
    </row>
    <row r="340" spans="1:7" s="6" customFormat="1" hidden="1" x14ac:dyDescent="0.25">
      <c r="G340" s="32">
        <f>SUM(G258:G339)</f>
        <v>780551</v>
      </c>
    </row>
    <row r="341" spans="1:7" s="6" customFormat="1" hidden="1" x14ac:dyDescent="0.25"/>
    <row r="342" spans="1:7" s="6" customFormat="1" hidden="1" x14ac:dyDescent="0.25">
      <c r="A342" s="6">
        <v>494472</v>
      </c>
      <c r="B342" s="6" t="str">
        <f>VLOOKUP(A342,SAP!$1:$1048576,2,FALSE)</f>
        <v>Pochwyt zlicowany PatioLife 43mm R01.1</v>
      </c>
      <c r="C342" s="8">
        <f>H84</f>
        <v>3</v>
      </c>
      <c r="D342" s="8">
        <f>IF(C342=1,0,IF(C342=2,A342,IF(C342=3,A343,IF(C342=4,A344,IF(C342=5,A345,IF(C342=6,A346,IF(C342=7,A347)))))))</f>
        <v>623221</v>
      </c>
    </row>
    <row r="343" spans="1:7" s="6" customFormat="1" hidden="1" x14ac:dyDescent="0.25">
      <c r="A343" s="6">
        <v>623221</v>
      </c>
      <c r="B343" s="6" t="str">
        <f>VLOOKUP(A343,SAP!$1:$1048576,2,FALSE)</f>
        <v>Pochwyt zlicowany PatioLife 43mm R01.3</v>
      </c>
    </row>
    <row r="344" spans="1:7" s="6" customFormat="1" hidden="1" x14ac:dyDescent="0.25">
      <c r="A344" s="6">
        <v>494473</v>
      </c>
      <c r="B344" s="6" t="str">
        <f>VLOOKUP(A344,SAP!$1:$1048576,2,FALSE)</f>
        <v>Pochwyt zlicowany PatioLife 43mm R05.3</v>
      </c>
    </row>
    <row r="345" spans="1:7" s="6" customFormat="1" hidden="1" x14ac:dyDescent="0.25">
      <c r="A345" s="6">
        <v>614625</v>
      </c>
      <c r="B345" s="6" t="str">
        <f>VLOOKUP(A345,SAP!$1:$1048576,2,FALSE)</f>
        <v>Pochwyt zlicowany PatioLife 43mm R05.5</v>
      </c>
    </row>
    <row r="346" spans="1:7" s="6" customFormat="1" hidden="1" x14ac:dyDescent="0.25">
      <c r="A346" s="6">
        <v>494474</v>
      </c>
      <c r="B346" s="6" t="str">
        <f>VLOOKUP(A346,SAP!$1:$1048576,2,FALSE)</f>
        <v>Pochwyt zlicowany PatioLife 43mm R07.2</v>
      </c>
    </row>
    <row r="347" spans="1:7" s="6" customFormat="1" hidden="1" x14ac:dyDescent="0.25">
      <c r="A347" s="6">
        <v>605551</v>
      </c>
      <c r="B347" s="6" t="str">
        <f>VLOOKUP(A347,SAP!1:1048576,2,FALSE)</f>
        <v>Pochwyt zew. 43MM R06.2 IS</v>
      </c>
    </row>
    <row r="348" spans="1:7" s="6" customFormat="1" hidden="1" x14ac:dyDescent="0.25">
      <c r="A348" s="6">
        <v>817180</v>
      </c>
      <c r="B348" s="6" t="str">
        <f>VLOOKUP(A348,SAP!1:1048576,2,FALSE)</f>
        <v>Zestaw śrub M5X70 (2szt.)</v>
      </c>
    </row>
    <row r="349" spans="1:7" s="6" customFormat="1" hidden="1" x14ac:dyDescent="0.25">
      <c r="B349" s="107" t="s">
        <v>1205</v>
      </c>
      <c r="C349" s="6" t="str">
        <f>SAP!A101</f>
        <v>brak</v>
      </c>
    </row>
    <row r="350" spans="1:7" s="6" customFormat="1" hidden="1" x14ac:dyDescent="0.25">
      <c r="A350" s="6">
        <v>820028</v>
      </c>
      <c r="B350" s="6" t="str">
        <f>VLOOKUP(A350,SAP!A134:G409,2,0)</f>
        <v>Pochwyt zlicowany 43mm R01.1 PIN</v>
      </c>
      <c r="C350" s="6" t="str">
        <f>SAP!A89</f>
        <v>R01.1 Naturalny srebrny</v>
      </c>
    </row>
    <row r="351" spans="1:7" s="6" customFormat="1" hidden="1" x14ac:dyDescent="0.25">
      <c r="A351" s="6">
        <v>820029</v>
      </c>
      <c r="B351" s="6" t="str">
        <f>VLOOKUP(A351,SAP!A135:G410,2,0)</f>
        <v>Pochwyt zlicowany 43mm R01.2 PIN</v>
      </c>
      <c r="C351" s="6" t="str">
        <f>SAP!A90</f>
        <v>R01.2 Nowy srebrny</v>
      </c>
    </row>
    <row r="352" spans="1:7" s="6" customFormat="1" hidden="1" x14ac:dyDescent="0.25">
      <c r="A352" s="6">
        <v>820030</v>
      </c>
      <c r="B352" s="6" t="str">
        <f>VLOOKUP(A352,SAP!A136:G411,2,0)</f>
        <v>Pochwyt zlicowany 43mm R01.3 PIN</v>
      </c>
      <c r="C352" s="6" t="str">
        <f>SAP!A91</f>
        <v>R01.3 Tytan</v>
      </c>
    </row>
    <row r="353" spans="1:4" s="6" customFormat="1" hidden="1" x14ac:dyDescent="0.25">
      <c r="A353" s="6">
        <v>820031</v>
      </c>
      <c r="B353" s="6" t="str">
        <f>VLOOKUP(A353,SAP!A137:G462,2,0)</f>
        <v>Pochwyt zlicowany 43mm R01.5 PIN</v>
      </c>
      <c r="C353" s="6" t="str">
        <f>SAP!A92</f>
        <v>R01.5 Srebrny</v>
      </c>
    </row>
    <row r="354" spans="1:4" s="6" customFormat="1" hidden="1" x14ac:dyDescent="0.25">
      <c r="A354" s="6">
        <v>820032</v>
      </c>
      <c r="B354" s="6" t="str">
        <f>VLOOKUP(A354,SAP!A138:G463,2,0)</f>
        <v>Pochwyt zlicowany 43mm R02.2 PIN</v>
      </c>
      <c r="C354" s="6" t="str">
        <f>SAP!A93</f>
        <v>R02.2 Antracyt</v>
      </c>
    </row>
    <row r="355" spans="1:4" s="6" customFormat="1" hidden="1" x14ac:dyDescent="0.25">
      <c r="A355" s="6">
        <v>820033</v>
      </c>
      <c r="B355" s="6" t="str">
        <f>VLOOKUP(A355,SAP!A139:G464,2,0)</f>
        <v>Pochwyt zlicowany 43mm R05.3 PIN</v>
      </c>
      <c r="C355" s="6" t="str">
        <f>SAP!A94</f>
        <v>R05.3 Średni brąz</v>
      </c>
    </row>
    <row r="356" spans="1:4" s="6" customFormat="1" hidden="1" x14ac:dyDescent="0.25">
      <c r="A356" s="6">
        <v>820034</v>
      </c>
      <c r="B356" s="6" t="str">
        <f>VLOOKUP(A356,SAP!A140:G465,2,0)</f>
        <v>Pochwyt zlicowany 43mm R05.4 PIN</v>
      </c>
      <c r="C356" s="6" t="str">
        <f>SAP!A95</f>
        <v>R05.4 Ciemny brąz</v>
      </c>
    </row>
    <row r="357" spans="1:4" s="6" customFormat="1" hidden="1" x14ac:dyDescent="0.25">
      <c r="A357" s="6">
        <v>820055</v>
      </c>
      <c r="B357" s="6" t="str">
        <f>VLOOKUP(A357,SAP!A141:G466,2,0)</f>
        <v>Pochwyt zlicowany 43mm R05.5 PIN</v>
      </c>
      <c r="C357" s="6" t="str">
        <f>SAP!A96</f>
        <v>R05.5 Brązowy</v>
      </c>
    </row>
    <row r="358" spans="1:4" s="6" customFormat="1" hidden="1" x14ac:dyDescent="0.25">
      <c r="A358" s="6">
        <v>820070</v>
      </c>
      <c r="B358" s="6" t="str">
        <f>VLOOKUP(A358,SAP!A142:G467,2,0)</f>
        <v>Pochwyt zlicowany 43mm R06.2M PIN</v>
      </c>
      <c r="C358" s="6" t="str">
        <f>SAP!A97</f>
        <v>R06.2M Czarny Mat</v>
      </c>
    </row>
    <row r="359" spans="1:4" s="6" customFormat="1" hidden="1" x14ac:dyDescent="0.25">
      <c r="A359" s="6">
        <v>820057</v>
      </c>
      <c r="B359" s="6" t="str">
        <f>VLOOKUP(A359,SAP!A143:G468,2,0)</f>
        <v>Pochwyt zlicowany 43mm R07.2 PIN</v>
      </c>
      <c r="C359" s="6" t="str">
        <f>SAP!A98</f>
        <v>R07.2 Biały</v>
      </c>
    </row>
    <row r="360" spans="1:4" s="6" customFormat="1" hidden="1" x14ac:dyDescent="0.25">
      <c r="A360" s="6">
        <v>820058</v>
      </c>
      <c r="B360" s="6" t="str">
        <f>VLOOKUP(A360,SAP!A144:G469,2,0)</f>
        <v>Pochwyt zlicowany 43mm R07.3 PIN</v>
      </c>
      <c r="C360" s="6" t="str">
        <f>SAP!A99</f>
        <v>R07.3 Kremowy</v>
      </c>
    </row>
    <row r="361" spans="1:4" s="6" customFormat="1" hidden="1" x14ac:dyDescent="0.25">
      <c r="A361" s="6">
        <v>820059</v>
      </c>
      <c r="B361" s="6" t="str">
        <f>VLOOKUP(A361,SAP!A145:G470,2,0)</f>
        <v>Pochwyt zlicowany 43mm surowy PIN</v>
      </c>
      <c r="C361" s="6" t="str">
        <f>SAP!A100</f>
        <v>surowy</v>
      </c>
    </row>
    <row r="362" spans="1:4" s="6" customFormat="1" hidden="1" x14ac:dyDescent="0.25">
      <c r="C362" s="106">
        <v>2</v>
      </c>
      <c r="D362" s="8">
        <f>IF(C362=1,0,IF(C362=2,A350,IF(C362=3,A351,IF(C362=4,A352,IF(C362=5,A353,IF(C362=6,A354,IF(C362=7,A355,IF(C362=8,A356,IF(C362=9,A357,IF(C362=10,A358,IF(C362=11,A359,IF(C362=12,A360,IF(C362=13,A361)))))))))))))</f>
        <v>820028</v>
      </c>
    </row>
    <row r="363" spans="1:4" s="6" customFormat="1" hidden="1" x14ac:dyDescent="0.25"/>
    <row r="364" spans="1:4" s="6" customFormat="1" hidden="1" x14ac:dyDescent="0.25">
      <c r="C364" s="6">
        <f>F88</f>
        <v>1</v>
      </c>
    </row>
    <row r="365" spans="1:4" s="6" customFormat="1" hidden="1" x14ac:dyDescent="0.25">
      <c r="A365" s="6">
        <v>494466</v>
      </c>
      <c r="B365" s="6" t="s">
        <v>1125</v>
      </c>
      <c r="C365" s="6">
        <f>IF(C364=1,1)</f>
        <v>1</v>
      </c>
      <c r="D365" s="6">
        <f>C365*A365</f>
        <v>494466</v>
      </c>
    </row>
    <row r="366" spans="1:4" s="6" customFormat="1" hidden="1" x14ac:dyDescent="0.25">
      <c r="A366" s="6">
        <v>228260</v>
      </c>
      <c r="B366" s="6" t="s">
        <v>1126</v>
      </c>
      <c r="C366" s="6" t="b">
        <f>IF(C364=3,1)</f>
        <v>0</v>
      </c>
      <c r="D366" s="6">
        <f t="shared" ref="D366:D368" si="44">C366*A366</f>
        <v>0</v>
      </c>
    </row>
    <row r="367" spans="1:4" s="6" customFormat="1" hidden="1" x14ac:dyDescent="0.25">
      <c r="A367" s="6">
        <v>494467</v>
      </c>
      <c r="B367" s="6" t="s">
        <v>1127</v>
      </c>
      <c r="C367" s="6" t="b">
        <f>IF(C364=5,1)</f>
        <v>0</v>
      </c>
      <c r="D367" s="6">
        <f t="shared" si="44"/>
        <v>0</v>
      </c>
    </row>
    <row r="368" spans="1:4" s="6" customFormat="1" hidden="1" x14ac:dyDescent="0.25">
      <c r="A368" s="6">
        <v>258952</v>
      </c>
      <c r="B368" s="6" t="s">
        <v>1128</v>
      </c>
      <c r="C368" s="6" t="b">
        <f>IF(C364=9,1)</f>
        <v>0</v>
      </c>
      <c r="D368" s="6">
        <f t="shared" si="44"/>
        <v>0</v>
      </c>
    </row>
    <row r="369" spans="1:5" s="6" customFormat="1" hidden="1" x14ac:dyDescent="0.25">
      <c r="D369" s="32">
        <f>SUM(D365:D368)</f>
        <v>494466</v>
      </c>
    </row>
    <row r="370" spans="1:5" s="6" customFormat="1" hidden="1" x14ac:dyDescent="0.25"/>
    <row r="371" spans="1:5" s="6" customFormat="1" hidden="1" x14ac:dyDescent="0.25">
      <c r="A371" s="6">
        <v>350401</v>
      </c>
      <c r="B371" s="6" t="str">
        <f>VLOOKUP(A371,SAP!A134:G411,2,0)</f>
        <v>Nakładka naprawcza-łącznik okuć NT</v>
      </c>
      <c r="C371" s="11" t="b">
        <v>0</v>
      </c>
      <c r="D371" s="6">
        <f>IF(C371=TRUE,A371,0)</f>
        <v>0</v>
      </c>
    </row>
    <row r="372" spans="1:5" s="6" customFormat="1" hidden="1" x14ac:dyDescent="0.25">
      <c r="A372" s="6">
        <v>809520</v>
      </c>
      <c r="B372" s="6" t="str">
        <f>VLOOKUP(A372,SAP!A135:G412,2,0)</f>
        <v>Szczotka wózka PIN</v>
      </c>
      <c r="C372" s="126" t="b">
        <v>0</v>
      </c>
      <c r="D372" s="6">
        <f>IF(C372=TRUE,A372,0)</f>
        <v>0</v>
      </c>
    </row>
    <row r="373" spans="1:5" s="6" customFormat="1" hidden="1" x14ac:dyDescent="0.25">
      <c r="A373" s="5"/>
      <c r="B373" s="5"/>
      <c r="C373" s="5"/>
      <c r="D373" s="5"/>
      <c r="E373" s="5"/>
    </row>
  </sheetData>
  <sheetProtection password="DD29" sheet="1" objects="1" scenarios="1"/>
  <scenarios current="0" show="0">
    <scenario name="Zasuwnica" locked="1" count="2" user="Pawel Dolman" comment="Autor: Pawel Dolman dn. 18.01.2018">
      <inputCells r="B34" val="Zasuwnica standard"/>
      <inputCells r="B36" val="Zasuwnica PZ"/>
    </scenario>
  </scenarios>
  <conditionalFormatting sqref="B42">
    <cfRule type="containsText" dxfId="26" priority="1" operator="containsText" text="DOBÓR NIEMOŻLIWY">
      <formula>NOT(ISERROR(SEARCH("DOBÓR NIEMOŻLIWY",B42)))</formula>
    </cfRule>
  </conditionalFormatting>
  <hyperlinks>
    <hyperlink ref="A5" location="'Schemat A'!A1" display="Schemat A"/>
    <hyperlink ref="A7" location="'Schemat A′'!A1" display="Schemat A'"/>
    <hyperlink ref="A8" location="'Schemat C'!A1" display="Schemat C"/>
    <hyperlink ref="A9" location="'Schemat C′'!A1" display="Schemat C'"/>
    <hyperlink ref="A10" location="'Schemat K'!A1" display="Schemat K"/>
    <hyperlink ref="A11" location="'Schemat K′'!A1" display="Schemat K'"/>
    <hyperlink ref="D1" location="'Schemat A'!A1" display="Powrót "/>
    <hyperlink ref="B72" location="Szablony!A1" display="Zamówienie szablonów"/>
    <hyperlink ref="A6" location="'Schemat A RC2'!A1" display="'Schemat A RC2'!A1"/>
  </hyperlinks>
  <pageMargins left="0.70866141732283472" right="0.70866141732283472" top="0.74803149606299213" bottom="0.74803149606299213" header="0.31496062992125984" footer="0.31496062992125984"/>
  <pageSetup paperSize="9" scale="82" orientation="portrait" errors="blank" r:id="rId1"/>
  <headerFooter>
    <oddHeader>&amp;CDobór Roto Patio Inowa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List Box 3">
              <controlPr defaultSize="0" autoLine="0" autoPict="0">
                <anchor moveWithCells="1">
                  <from>
                    <xdr:col>0</xdr:col>
                    <xdr:colOff>9525</xdr:colOff>
                    <xdr:row>20</xdr:row>
                    <xdr:rowOff>19050</xdr:rowOff>
                  </from>
                  <to>
                    <xdr:col>1</xdr:col>
                    <xdr:colOff>266700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List Box 4">
              <controlPr defaultSize="0" autoLine="0" autoPict="0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1</xdr:col>
                    <xdr:colOff>1428750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List Box 5">
              <controlPr defaultSize="0" autoLine="0" autoPict="0">
                <anchor moveWithCells="1">
                  <from>
                    <xdr:col>2</xdr:col>
                    <xdr:colOff>0</xdr:colOff>
                    <xdr:row>20</xdr:row>
                    <xdr:rowOff>19050</xdr:rowOff>
                  </from>
                  <to>
                    <xdr:col>3</xdr:col>
                    <xdr:colOff>533400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List Box 8">
              <controlPr defaultSize="0" autoLine="0" autoPict="0">
                <anchor moveWithCells="1">
                  <from>
                    <xdr:col>1</xdr:col>
                    <xdr:colOff>3438525</xdr:colOff>
                    <xdr:row>4</xdr:row>
                    <xdr:rowOff>0</xdr:rowOff>
                  </from>
                  <to>
                    <xdr:col>2</xdr:col>
                    <xdr:colOff>847725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List Box 9">
              <controlPr defaultSize="0" autoLine="0" autoPict="0">
                <anchor moveWithCells="1">
                  <from>
                    <xdr:col>0</xdr:col>
                    <xdr:colOff>28575</xdr:colOff>
                    <xdr:row>26</xdr:row>
                    <xdr:rowOff>200025</xdr:rowOff>
                  </from>
                  <to>
                    <xdr:col>1</xdr:col>
                    <xdr:colOff>466725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List Box 10">
              <controlPr defaultSize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533400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Drop Down 11">
              <controlPr defaultSize="0" autoLine="0" autoPict="0">
                <anchor moveWithCells="1">
                  <from>
                    <xdr:col>0</xdr:col>
                    <xdr:colOff>28575</xdr:colOff>
                    <xdr:row>33</xdr:row>
                    <xdr:rowOff>9525</xdr:rowOff>
                  </from>
                  <to>
                    <xdr:col>1</xdr:col>
                    <xdr:colOff>257175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List Box 14">
              <controlPr defaultSize="0" autoLine="0" autoPict="0">
                <anchor moveWithCells="1">
                  <from>
                    <xdr:col>3</xdr:col>
                    <xdr:colOff>333375</xdr:colOff>
                    <xdr:row>1</xdr:row>
                    <xdr:rowOff>57150</xdr:rowOff>
                  </from>
                  <to>
                    <xdr:col>3</xdr:col>
                    <xdr:colOff>866775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1</xdr:col>
                    <xdr:colOff>847725</xdr:colOff>
                    <xdr:row>35</xdr:row>
                    <xdr:rowOff>0</xdr:rowOff>
                  </from>
                  <to>
                    <xdr:col>1</xdr:col>
                    <xdr:colOff>2600325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 altText="Stosowanie szczotek wózka_x000a_">
                <anchor moveWithCells="1">
                  <from>
                    <xdr:col>1</xdr:col>
                    <xdr:colOff>847725</xdr:colOff>
                    <xdr:row>37</xdr:row>
                    <xdr:rowOff>9525</xdr:rowOff>
                  </from>
                  <to>
                    <xdr:col>1</xdr:col>
                    <xdr:colOff>2505075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1</xdr:col>
                    <xdr:colOff>847725</xdr:colOff>
                    <xdr:row>36</xdr:row>
                    <xdr:rowOff>19050</xdr:rowOff>
                  </from>
                  <to>
                    <xdr:col>2</xdr:col>
                    <xdr:colOff>771525</xdr:colOff>
                    <xdr:row>36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A1:C52"/>
  <sheetViews>
    <sheetView topLeftCell="A19" zoomScale="90" zoomScaleNormal="90" workbookViewId="0">
      <selection activeCell="B57" sqref="B57"/>
    </sheetView>
  </sheetViews>
  <sheetFormatPr defaultRowHeight="15" x14ac:dyDescent="0.25"/>
  <cols>
    <col min="1" max="1" width="13.140625" bestFit="1" customWidth="1"/>
    <col min="2" max="2" width="123.140625" bestFit="1" customWidth="1"/>
    <col min="3" max="3" width="18.5703125" bestFit="1" customWidth="1"/>
  </cols>
  <sheetData>
    <row r="1" spans="1:3" x14ac:dyDescent="0.25">
      <c r="A1" t="s">
        <v>308</v>
      </c>
    </row>
    <row r="2" spans="1:3" x14ac:dyDescent="0.25">
      <c r="A2" s="67" t="s">
        <v>309</v>
      </c>
      <c r="B2" s="67" t="s">
        <v>310</v>
      </c>
      <c r="C2" s="67" t="s">
        <v>311</v>
      </c>
    </row>
    <row r="3" spans="1:3" x14ac:dyDescent="0.25">
      <c r="A3" s="137">
        <v>43234</v>
      </c>
      <c r="B3" s="67" t="s">
        <v>312</v>
      </c>
      <c r="C3" s="141"/>
    </row>
    <row r="4" spans="1:3" x14ac:dyDescent="0.25">
      <c r="A4" s="137"/>
      <c r="B4" s="67" t="s">
        <v>314</v>
      </c>
      <c r="C4" s="141"/>
    </row>
    <row r="5" spans="1:3" x14ac:dyDescent="0.25">
      <c r="A5" s="137"/>
      <c r="B5" s="67" t="s">
        <v>313</v>
      </c>
      <c r="C5" s="141"/>
    </row>
    <row r="6" spans="1:3" ht="409.5" customHeight="1" x14ac:dyDescent="0.25">
      <c r="A6" s="137">
        <v>43284</v>
      </c>
      <c r="B6" s="83" t="s">
        <v>317</v>
      </c>
      <c r="C6" s="67" t="s">
        <v>318</v>
      </c>
    </row>
    <row r="7" spans="1:3" x14ac:dyDescent="0.25">
      <c r="A7" s="137"/>
      <c r="B7" s="83" t="s">
        <v>320</v>
      </c>
      <c r="C7" s="67" t="s">
        <v>321</v>
      </c>
    </row>
    <row r="8" spans="1:3" x14ac:dyDescent="0.25">
      <c r="A8" s="137"/>
      <c r="B8" s="83" t="s">
        <v>327</v>
      </c>
      <c r="C8" s="83" t="s">
        <v>321</v>
      </c>
    </row>
    <row r="9" spans="1:3" x14ac:dyDescent="0.25">
      <c r="A9" s="137">
        <v>43326</v>
      </c>
      <c r="B9" s="83" t="s">
        <v>329</v>
      </c>
      <c r="C9" s="83" t="s">
        <v>328</v>
      </c>
    </row>
    <row r="10" spans="1:3" x14ac:dyDescent="0.25">
      <c r="A10" s="137"/>
      <c r="B10" s="142" t="s">
        <v>332</v>
      </c>
      <c r="C10" s="143" t="s">
        <v>331</v>
      </c>
    </row>
    <row r="11" spans="1:3" x14ac:dyDescent="0.25">
      <c r="A11" s="137"/>
      <c r="B11" s="142"/>
      <c r="C11" s="144"/>
    </row>
    <row r="12" spans="1:3" x14ac:dyDescent="0.25">
      <c r="A12" s="88">
        <v>43341</v>
      </c>
      <c r="B12" s="83" t="s">
        <v>334</v>
      </c>
      <c r="C12" s="83" t="s">
        <v>333</v>
      </c>
    </row>
    <row r="13" spans="1:3" x14ac:dyDescent="0.25">
      <c r="A13" s="88">
        <v>43360</v>
      </c>
      <c r="B13" s="88" t="s">
        <v>336</v>
      </c>
      <c r="C13" s="88" t="s">
        <v>335</v>
      </c>
    </row>
    <row r="14" spans="1:3" x14ac:dyDescent="0.25">
      <c r="A14" s="137">
        <v>43361</v>
      </c>
      <c r="B14" s="90" t="s">
        <v>337</v>
      </c>
      <c r="C14" s="138" t="s">
        <v>338</v>
      </c>
    </row>
    <row r="15" spans="1:3" x14ac:dyDescent="0.25">
      <c r="A15" s="137"/>
      <c r="B15" s="90" t="s">
        <v>339</v>
      </c>
      <c r="C15" s="139"/>
    </row>
    <row r="16" spans="1:3" x14ac:dyDescent="0.25">
      <c r="A16" s="137"/>
      <c r="B16" s="83" t="s">
        <v>340</v>
      </c>
      <c r="C16" s="140"/>
    </row>
    <row r="17" spans="1:3" x14ac:dyDescent="0.25">
      <c r="A17" s="137">
        <v>43370</v>
      </c>
      <c r="B17" s="83" t="s">
        <v>344</v>
      </c>
      <c r="C17" s="67" t="s">
        <v>345</v>
      </c>
    </row>
    <row r="18" spans="1:3" x14ac:dyDescent="0.25">
      <c r="A18" s="137"/>
      <c r="B18" s="83" t="s">
        <v>346</v>
      </c>
      <c r="C18" s="67" t="s">
        <v>347</v>
      </c>
    </row>
    <row r="19" spans="1:3" x14ac:dyDescent="0.25">
      <c r="A19" s="137">
        <v>43382</v>
      </c>
      <c r="B19" s="83" t="s">
        <v>348</v>
      </c>
      <c r="C19" s="67" t="s">
        <v>335</v>
      </c>
    </row>
    <row r="20" spans="1:3" x14ac:dyDescent="0.25">
      <c r="A20" s="137"/>
      <c r="B20" s="83" t="s">
        <v>349</v>
      </c>
      <c r="C20" s="67" t="s">
        <v>347</v>
      </c>
    </row>
    <row r="21" spans="1:3" x14ac:dyDescent="0.25">
      <c r="A21" s="137">
        <v>43391</v>
      </c>
      <c r="B21" s="83" t="s">
        <v>829</v>
      </c>
      <c r="C21" s="83" t="s">
        <v>830</v>
      </c>
    </row>
    <row r="22" spans="1:3" x14ac:dyDescent="0.25">
      <c r="A22" s="137"/>
      <c r="B22" s="83" t="s">
        <v>831</v>
      </c>
      <c r="C22" s="83" t="s">
        <v>832</v>
      </c>
    </row>
    <row r="23" spans="1:3" x14ac:dyDescent="0.25">
      <c r="A23" s="137">
        <v>43423</v>
      </c>
      <c r="B23" s="83" t="s">
        <v>837</v>
      </c>
      <c r="C23" s="83" t="s">
        <v>318</v>
      </c>
    </row>
    <row r="24" spans="1:3" x14ac:dyDescent="0.25">
      <c r="A24" s="137"/>
      <c r="B24" s="83" t="s">
        <v>854</v>
      </c>
      <c r="C24" s="83" t="s">
        <v>335</v>
      </c>
    </row>
    <row r="25" spans="1:3" x14ac:dyDescent="0.25">
      <c r="A25" s="137"/>
      <c r="B25" s="83" t="s">
        <v>1118</v>
      </c>
      <c r="C25" s="83" t="s">
        <v>1119</v>
      </c>
    </row>
    <row r="26" spans="1:3" x14ac:dyDescent="0.25">
      <c r="A26" s="137"/>
      <c r="B26" s="67" t="s">
        <v>1120</v>
      </c>
      <c r="C26" s="67" t="s">
        <v>1121</v>
      </c>
    </row>
    <row r="27" spans="1:3" x14ac:dyDescent="0.25">
      <c r="A27" s="137"/>
      <c r="B27" s="83" t="s">
        <v>1123</v>
      </c>
      <c r="C27" s="83" t="s">
        <v>331</v>
      </c>
    </row>
    <row r="28" spans="1:3" x14ac:dyDescent="0.25">
      <c r="A28" s="137"/>
      <c r="B28" s="83" t="s">
        <v>1124</v>
      </c>
      <c r="C28" s="67"/>
    </row>
    <row r="29" spans="1:3" x14ac:dyDescent="0.25">
      <c r="A29" s="137"/>
      <c r="B29" s="83" t="s">
        <v>1141</v>
      </c>
      <c r="C29" s="83" t="s">
        <v>347</v>
      </c>
    </row>
    <row r="30" spans="1:3" x14ac:dyDescent="0.25">
      <c r="A30" s="88">
        <v>43511</v>
      </c>
      <c r="B30" s="83" t="s">
        <v>1154</v>
      </c>
      <c r="C30" s="83" t="s">
        <v>1155</v>
      </c>
    </row>
    <row r="31" spans="1:3" x14ac:dyDescent="0.25">
      <c r="A31" s="137">
        <v>43535</v>
      </c>
      <c r="B31" s="83" t="s">
        <v>1215</v>
      </c>
      <c r="C31" s="83" t="s">
        <v>1216</v>
      </c>
    </row>
    <row r="32" spans="1:3" x14ac:dyDescent="0.25">
      <c r="A32" s="137"/>
      <c r="B32" s="83" t="s">
        <v>1217</v>
      </c>
      <c r="C32" s="83" t="s">
        <v>347</v>
      </c>
    </row>
    <row r="33" spans="1:3" x14ac:dyDescent="0.25">
      <c r="A33" s="137"/>
      <c r="B33" s="83" t="s">
        <v>1234</v>
      </c>
      <c r="C33" s="83" t="s">
        <v>338</v>
      </c>
    </row>
    <row r="34" spans="1:3" x14ac:dyDescent="0.25">
      <c r="A34" s="137"/>
      <c r="B34" s="83" t="s">
        <v>1246</v>
      </c>
      <c r="C34" s="67" t="s">
        <v>1247</v>
      </c>
    </row>
    <row r="35" spans="1:3" x14ac:dyDescent="0.25">
      <c r="A35" s="137"/>
      <c r="B35" s="83" t="s">
        <v>1248</v>
      </c>
      <c r="C35" s="67" t="s">
        <v>331</v>
      </c>
    </row>
    <row r="36" spans="1:3" x14ac:dyDescent="0.25">
      <c r="A36" s="137">
        <v>43626</v>
      </c>
      <c r="B36" s="83" t="s">
        <v>1291</v>
      </c>
      <c r="C36" s="83" t="s">
        <v>1292</v>
      </c>
    </row>
    <row r="37" spans="1:3" x14ac:dyDescent="0.25">
      <c r="A37" s="137"/>
      <c r="B37" s="83" t="s">
        <v>1293</v>
      </c>
      <c r="C37" s="88" t="s">
        <v>331</v>
      </c>
    </row>
    <row r="38" spans="1:3" x14ac:dyDescent="0.25">
      <c r="A38" s="137"/>
      <c r="B38" s="83" t="s">
        <v>1297</v>
      </c>
      <c r="C38" s="83" t="s">
        <v>1298</v>
      </c>
    </row>
    <row r="39" spans="1:3" x14ac:dyDescent="0.25">
      <c r="A39" s="137"/>
      <c r="B39" s="83" t="s">
        <v>1307</v>
      </c>
      <c r="C39" s="83" t="s">
        <v>331</v>
      </c>
    </row>
    <row r="40" spans="1:3" x14ac:dyDescent="0.25">
      <c r="A40" s="137">
        <v>43717</v>
      </c>
      <c r="B40" s="83" t="s">
        <v>1379</v>
      </c>
      <c r="C40" s="83" t="s">
        <v>1380</v>
      </c>
    </row>
    <row r="41" spans="1:3" x14ac:dyDescent="0.25">
      <c r="A41" s="137"/>
      <c r="B41" s="83" t="s">
        <v>1382</v>
      </c>
      <c r="C41" s="83" t="s">
        <v>331</v>
      </c>
    </row>
    <row r="42" spans="1:3" x14ac:dyDescent="0.25">
      <c r="A42" s="137"/>
      <c r="B42" s="83" t="s">
        <v>1384</v>
      </c>
      <c r="C42" s="83" t="s">
        <v>331</v>
      </c>
    </row>
    <row r="43" spans="1:3" x14ac:dyDescent="0.25">
      <c r="A43" s="137"/>
      <c r="B43" s="83" t="s">
        <v>1381</v>
      </c>
      <c r="C43" s="83" t="s">
        <v>331</v>
      </c>
    </row>
    <row r="44" spans="1:3" x14ac:dyDescent="0.25">
      <c r="A44" s="137"/>
      <c r="B44" s="83" t="s">
        <v>1383</v>
      </c>
      <c r="C44" s="83" t="s">
        <v>331</v>
      </c>
    </row>
    <row r="45" spans="1:3" x14ac:dyDescent="0.25">
      <c r="A45" s="137"/>
      <c r="B45" s="83" t="s">
        <v>1385</v>
      </c>
      <c r="C45" s="83" t="s">
        <v>331</v>
      </c>
    </row>
    <row r="46" spans="1:3" x14ac:dyDescent="0.25">
      <c r="A46" s="88">
        <v>43761</v>
      </c>
      <c r="B46" s="83" t="s">
        <v>1386</v>
      </c>
      <c r="C46" s="83" t="s">
        <v>1387</v>
      </c>
    </row>
    <row r="47" spans="1:3" x14ac:dyDescent="0.25">
      <c r="A47" s="134">
        <v>43798</v>
      </c>
      <c r="B47" s="83" t="s">
        <v>1419</v>
      </c>
      <c r="C47" s="83" t="s">
        <v>331</v>
      </c>
    </row>
    <row r="48" spans="1:3" x14ac:dyDescent="0.25">
      <c r="A48" s="135"/>
      <c r="B48" s="83" t="s">
        <v>1420</v>
      </c>
      <c r="C48" s="83" t="s">
        <v>331</v>
      </c>
    </row>
    <row r="49" spans="1:3" x14ac:dyDescent="0.25">
      <c r="A49" s="135"/>
      <c r="B49" s="83" t="s">
        <v>1467</v>
      </c>
      <c r="C49" s="83" t="s">
        <v>331</v>
      </c>
    </row>
    <row r="50" spans="1:3" x14ac:dyDescent="0.25">
      <c r="A50" s="135"/>
      <c r="B50" s="132" t="s">
        <v>1468</v>
      </c>
      <c r="C50" s="132" t="s">
        <v>331</v>
      </c>
    </row>
    <row r="51" spans="1:3" x14ac:dyDescent="0.25">
      <c r="A51" s="136"/>
      <c r="B51" s="83" t="s">
        <v>1495</v>
      </c>
      <c r="C51" s="83" t="s">
        <v>331</v>
      </c>
    </row>
    <row r="52" spans="1:3" x14ac:dyDescent="0.25">
      <c r="A52" s="88">
        <v>43804</v>
      </c>
      <c r="B52" s="83" t="s">
        <v>1498</v>
      </c>
      <c r="C52" s="83" t="s">
        <v>1499</v>
      </c>
    </row>
  </sheetData>
  <sheetProtection password="DD29" sheet="1" objects="1" scenarios="1"/>
  <mergeCells count="16">
    <mergeCell ref="C14:C16"/>
    <mergeCell ref="C3:C5"/>
    <mergeCell ref="A6:A8"/>
    <mergeCell ref="B10:B11"/>
    <mergeCell ref="A9:A11"/>
    <mergeCell ref="C10:C11"/>
    <mergeCell ref="A47:A51"/>
    <mergeCell ref="A40:A45"/>
    <mergeCell ref="A36:A39"/>
    <mergeCell ref="A14:A16"/>
    <mergeCell ref="A3:A5"/>
    <mergeCell ref="A31:A35"/>
    <mergeCell ref="A23:A29"/>
    <mergeCell ref="A21:A22"/>
    <mergeCell ref="A19:A20"/>
    <mergeCell ref="A17:A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>
    <pageSetUpPr fitToPage="1"/>
  </sheetPr>
  <dimension ref="A1:V407"/>
  <sheetViews>
    <sheetView zoomScale="80" zoomScaleNormal="80" workbookViewId="0">
      <selection activeCell="C12" sqref="C12"/>
    </sheetView>
  </sheetViews>
  <sheetFormatPr defaultRowHeight="15" x14ac:dyDescent="0.25"/>
  <cols>
    <col min="1" max="1" width="12.7109375" style="37" customWidth="1"/>
    <col min="2" max="2" width="52.5703125" style="37" customWidth="1"/>
    <col min="3" max="3" width="22.140625" style="37" bestFit="1" customWidth="1"/>
    <col min="4" max="4" width="15.5703125" style="37" bestFit="1" customWidth="1"/>
    <col min="5" max="5" width="9.85546875" style="37" bestFit="1" customWidth="1"/>
    <col min="6" max="6" width="12.7109375" style="37" bestFit="1" customWidth="1"/>
    <col min="7" max="7" width="9.140625" style="37"/>
    <col min="8" max="8" width="14.140625" style="37" bestFit="1" customWidth="1"/>
    <col min="9" max="12" width="9.140625" style="37"/>
    <col min="13" max="13" width="10" style="37" bestFit="1" customWidth="1"/>
    <col min="14" max="16384" width="9.140625" style="37"/>
  </cols>
  <sheetData>
    <row r="1" spans="1:21" x14ac:dyDescent="0.25">
      <c r="A1" s="35"/>
      <c r="B1" s="35"/>
      <c r="C1" s="35"/>
      <c r="D1" s="36" t="str">
        <f>SAP!A32</f>
        <v xml:space="preserve">Powrót 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31.5" x14ac:dyDescent="0.5">
      <c r="A2" s="38" t="str">
        <f>SAP!A13</f>
        <v>Roto Patio Inowa Schemat A'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25">
      <c r="A3" s="35" t="str">
        <f>SAP!A16</f>
        <v>(dobór przygotowany wg instrukcji IMO_403_DE_v7)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5.75" x14ac:dyDescent="0.25">
      <c r="A4" s="39" t="str">
        <f>SAP!A17</f>
        <v xml:space="preserve">Wybór schematu:                                      </v>
      </c>
      <c r="B4" s="40"/>
      <c r="C4" s="41" t="str">
        <f>SAP!A31</f>
        <v xml:space="preserve">  Profil: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25">
      <c r="A5" s="42" t="str">
        <f>SAP!A18</f>
        <v>Schemat A</v>
      </c>
      <c r="B5" s="43" t="str">
        <f>SAP!A25</f>
        <v>TYLKO PVC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25">
      <c r="A6" s="42" t="str">
        <f>SAP!A20</f>
        <v>Schemat A' w opracowaniu</v>
      </c>
      <c r="B6" s="43" t="str">
        <f>SAP!A26</f>
        <v>TYLKO DREWNO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42" t="str">
        <f>SAP!A21</f>
        <v>Schemat C</v>
      </c>
      <c r="B7" s="43" t="str">
        <f>SAP!A27</f>
        <v>TYLKO PVC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25">
      <c r="A8" s="42" t="str">
        <f>SAP!A22</f>
        <v>Schemat C' w opracowaniu</v>
      </c>
      <c r="B8" s="43" t="str">
        <f>SAP!A28</f>
        <v>TYLKO DREWNO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42" t="str">
        <f>SAP!A23</f>
        <v>Schemat K w opracowaniu</v>
      </c>
      <c r="B9" s="43" t="str">
        <f>SAP!A29</f>
        <v>TYLKO PVC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ht="15.75" thickBot="1" x14ac:dyDescent="0.3">
      <c r="A10" s="42" t="str">
        <f>SAP!A24</f>
        <v>Schemat K' w opracowaniu</v>
      </c>
      <c r="B10" s="43" t="str">
        <f>SAP!A30</f>
        <v>TYLKO DREWNO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16.5" thickBot="1" x14ac:dyDescent="0.3">
      <c r="A11" s="44" t="str">
        <f>SAP!A33</f>
        <v>Wymiary:</v>
      </c>
      <c r="B11" s="45" t="str">
        <f>SAP!A34</f>
        <v>Ciężar skrzydła max 200 kg</v>
      </c>
      <c r="C11" s="100" t="str">
        <f>SAP!A35</f>
        <v>Uzupełniamy żółte pola ↓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19.5" thickBot="1" x14ac:dyDescent="0.35">
      <c r="A12" s="44" t="str">
        <f>SAP!A36</f>
        <v>Szerokość ościeżnicy FB:</v>
      </c>
      <c r="C12" s="33">
        <v>1770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9.5" thickBot="1" x14ac:dyDescent="0.35">
      <c r="A13" s="44" t="str">
        <f>SAP!A37</f>
        <v>Wysokość ościeżnicy FH:</v>
      </c>
      <c r="B13" s="35"/>
      <c r="C13" s="33">
        <v>2310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8.75" x14ac:dyDescent="0.3">
      <c r="A14" s="35" t="str">
        <f>SAP!A38</f>
        <v>FFB szerokość skrzydła na wrębie (min: 710 mm; max: 1500 mm):</v>
      </c>
      <c r="B14" s="35"/>
      <c r="C14" s="46">
        <f>D87</f>
        <v>810</v>
      </c>
      <c r="D14" s="47" t="str">
        <f>IF(C14&lt;710,SAP!A72,IF(C14&lt;=1500,"OK",IF(C14&gt;1500,SAP!A73)))</f>
        <v>OK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ht="18.75" x14ac:dyDescent="0.3">
      <c r="A15" s="35" t="str">
        <f>SAP!A39</f>
        <v>FFH wysokość skrzydła na wrębie (min: 600 mm; max: 2500 mm):</v>
      </c>
      <c r="B15" s="35"/>
      <c r="C15" s="48">
        <f>C87</f>
        <v>2147</v>
      </c>
      <c r="D15" s="47" t="str">
        <f>IF(C15&lt;=589,SAP!A74,IF(C15&lt;=2500,"OK",IF(C15&gt;2501,SAP!A75)))</f>
        <v>OK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5.75" x14ac:dyDescent="0.25">
      <c r="A16" s="35" t="str">
        <f>SAP!A41</f>
        <v>Proporcje: max 2:1</v>
      </c>
      <c r="B16" s="35"/>
      <c r="C16" s="49" t="str">
        <f>F87</f>
        <v>nieprawidłowe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6.5" thickBot="1" x14ac:dyDescent="0.3">
      <c r="B17" s="50" t="str">
        <f>SAP!A42</f>
        <v>Ilość: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9.5" thickBot="1" x14ac:dyDescent="0.35">
      <c r="A18" s="35"/>
      <c r="B18" s="35"/>
      <c r="C18" s="33">
        <v>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5.75" x14ac:dyDescent="0.25">
      <c r="A19" s="44" t="str">
        <f>SAP!A45</f>
        <v>Kierunek otwierania:</v>
      </c>
      <c r="B19" s="35"/>
      <c r="C19" s="41" t="str">
        <f>SAP!A47</f>
        <v xml:space="preserve">  Kolor osłonek: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ht="15.75" x14ac:dyDescent="0.25">
      <c r="A22" s="44" t="str">
        <f>SAP!A48</f>
        <v>Rodzaj zasuwnicy (z wkładką bębenkową FFH&gt;1801):</v>
      </c>
      <c r="B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15.75" x14ac:dyDescent="0.25">
      <c r="A23" s="51"/>
      <c r="B23" s="35"/>
      <c r="C23" s="44" t="s">
        <v>270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x14ac:dyDescent="0.25">
      <c r="A25" s="43" t="str">
        <f>M178</f>
        <v/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ht="15.75" x14ac:dyDescent="0.25">
      <c r="A26" s="44" t="str">
        <f>SAP!A50</f>
        <v>Klamka:</v>
      </c>
      <c r="B26" s="35"/>
      <c r="C26" s="44" t="str">
        <f>SAP!A51</f>
        <v>Kolor klamki: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ht="15.75" x14ac:dyDescent="0.25">
      <c r="A30" s="44" t="str">
        <f>SAP!A52</f>
        <v>Trzpień: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ht="15.75" x14ac:dyDescent="0.25">
      <c r="A32" s="44" t="str">
        <f>SAP!A57</f>
        <v>Pochwyt od zewnątrz: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ht="18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ht="18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ht="15.75" x14ac:dyDescent="0.25">
      <c r="A35" s="44" t="str">
        <f>SAP!A126</f>
        <v>Montaż okuć: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ht="15.75" x14ac:dyDescent="0.25">
      <c r="A36" s="68" t="str">
        <f>SAP!A13</f>
        <v>Roto Patio Inowa Schemat A'</v>
      </c>
      <c r="B36" s="35"/>
      <c r="C36" s="69" t="s">
        <v>290</v>
      </c>
      <c r="D36" s="73">
        <f>D87</f>
        <v>810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5.75" x14ac:dyDescent="0.25">
      <c r="A37" s="68" t="str">
        <f>SAP!A63</f>
        <v>Kierunek</v>
      </c>
      <c r="B37" s="72" t="str">
        <f>B79</f>
        <v>Lewe --&gt;</v>
      </c>
      <c r="C37" s="69" t="s">
        <v>289</v>
      </c>
      <c r="D37" s="73">
        <f>C87</f>
        <v>2147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8.75" x14ac:dyDescent="0.3">
      <c r="A38" s="52" t="s">
        <v>31</v>
      </c>
      <c r="B38" s="52" t="str">
        <f>SAP!A66</f>
        <v>Artykuł</v>
      </c>
      <c r="C38" s="52" t="str">
        <f>SAP!A67</f>
        <v>Ilość szt .</v>
      </c>
      <c r="D38" s="52" t="str">
        <f>SAP!A68</f>
        <v>Na zlecenie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x14ac:dyDescent="0.25">
      <c r="A39" s="53" t="str">
        <f t="shared" ref="A39:B54" si="0">A89</f>
        <v>!</v>
      </c>
      <c r="B39" s="53" t="str">
        <f t="shared" si="0"/>
        <v>DOBÓR NIEMOŻLIWY</v>
      </c>
      <c r="C39" s="53">
        <f>E89</f>
        <v>0</v>
      </c>
      <c r="D39" s="53">
        <f t="shared" ref="D39:D65" si="1">C39*$E$86</f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x14ac:dyDescent="0.25">
      <c r="A40" s="53">
        <f t="shared" si="0"/>
        <v>0</v>
      </c>
      <c r="B40" s="53" t="str">
        <f t="shared" si="0"/>
        <v>__</v>
      </c>
      <c r="C40" s="53">
        <f>E90</f>
        <v>0</v>
      </c>
      <c r="D40" s="53">
        <f t="shared" si="1"/>
        <v>0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x14ac:dyDescent="0.25">
      <c r="A41" s="53">
        <f t="shared" si="0"/>
        <v>0</v>
      </c>
      <c r="B41" s="53" t="str">
        <f t="shared" si="0"/>
        <v>__</v>
      </c>
      <c r="C41" s="53">
        <f t="shared" ref="C41:C58" si="2">E91</f>
        <v>0</v>
      </c>
      <c r="D41" s="53">
        <f t="shared" si="1"/>
        <v>0</v>
      </c>
      <c r="E41" s="89" t="str">
        <f>F91</f>
        <v>Uwaga! Zamknięcie środkowe nie zostało dobrane z uwagi na niepoprawną szerokość skrzydła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x14ac:dyDescent="0.25">
      <c r="A42" s="53">
        <f t="shared" si="0"/>
        <v>0</v>
      </c>
      <c r="B42" s="53" t="str">
        <f t="shared" si="0"/>
        <v>__</v>
      </c>
      <c r="C42" s="53">
        <f t="shared" si="2"/>
        <v>0</v>
      </c>
      <c r="D42" s="53">
        <f t="shared" si="1"/>
        <v>0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x14ac:dyDescent="0.25">
      <c r="A43" s="53">
        <f t="shared" si="0"/>
        <v>0</v>
      </c>
      <c r="B43" s="53" t="str">
        <f t="shared" si="0"/>
        <v>__</v>
      </c>
      <c r="C43" s="53">
        <f t="shared" si="2"/>
        <v>0</v>
      </c>
      <c r="D43" s="53">
        <f t="shared" si="1"/>
        <v>0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x14ac:dyDescent="0.25">
      <c r="A44" s="53">
        <f t="shared" si="0"/>
        <v>0</v>
      </c>
      <c r="B44" s="53" t="str">
        <f t="shared" si="0"/>
        <v>__</v>
      </c>
      <c r="C44" s="53">
        <f t="shared" si="2"/>
        <v>0</v>
      </c>
      <c r="D44" s="53">
        <f t="shared" si="1"/>
        <v>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x14ac:dyDescent="0.25">
      <c r="A45" s="53">
        <f t="shared" si="0"/>
        <v>0</v>
      </c>
      <c r="B45" s="53" t="str">
        <f t="shared" si="0"/>
        <v>__</v>
      </c>
      <c r="C45" s="53">
        <f t="shared" si="2"/>
        <v>0</v>
      </c>
      <c r="D45" s="53">
        <f t="shared" si="1"/>
        <v>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x14ac:dyDescent="0.25">
      <c r="A46" s="53">
        <f t="shared" si="0"/>
        <v>0</v>
      </c>
      <c r="B46" s="53" t="str">
        <f t="shared" si="0"/>
        <v>__</v>
      </c>
      <c r="C46" s="53">
        <f t="shared" si="2"/>
        <v>0</v>
      </c>
      <c r="D46" s="53">
        <f t="shared" si="1"/>
        <v>0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1" x14ac:dyDescent="0.25">
      <c r="A47" s="53">
        <f t="shared" si="0"/>
        <v>0</v>
      </c>
      <c r="B47" s="53" t="str">
        <f>B97</f>
        <v>__</v>
      </c>
      <c r="C47" s="53">
        <f t="shared" si="2"/>
        <v>0</v>
      </c>
      <c r="D47" s="53">
        <f t="shared" si="1"/>
        <v>0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x14ac:dyDescent="0.25">
      <c r="A48" s="53">
        <f t="shared" si="0"/>
        <v>0</v>
      </c>
      <c r="B48" s="53" t="str">
        <f t="shared" si="0"/>
        <v>__</v>
      </c>
      <c r="C48" s="53">
        <f t="shared" si="2"/>
        <v>0</v>
      </c>
      <c r="D48" s="53">
        <f t="shared" si="1"/>
        <v>0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21" x14ac:dyDescent="0.25">
      <c r="A49" s="53">
        <f t="shared" si="0"/>
        <v>0</v>
      </c>
      <c r="B49" s="53" t="str">
        <f t="shared" si="0"/>
        <v>__</v>
      </c>
      <c r="C49" s="53">
        <f t="shared" si="2"/>
        <v>0</v>
      </c>
      <c r="D49" s="53">
        <f t="shared" si="1"/>
        <v>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x14ac:dyDescent="0.25">
      <c r="A50" s="53">
        <f t="shared" si="0"/>
        <v>0</v>
      </c>
      <c r="B50" s="53" t="str">
        <f t="shared" si="0"/>
        <v>__</v>
      </c>
      <c r="C50" s="53">
        <f t="shared" si="2"/>
        <v>0</v>
      </c>
      <c r="D50" s="53">
        <f t="shared" si="1"/>
        <v>0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x14ac:dyDescent="0.25">
      <c r="A51" s="53">
        <f t="shared" si="0"/>
        <v>0</v>
      </c>
      <c r="B51" s="53" t="str">
        <f t="shared" si="0"/>
        <v>__</v>
      </c>
      <c r="C51" s="53">
        <f t="shared" si="2"/>
        <v>0</v>
      </c>
      <c r="D51" s="53">
        <f t="shared" si="1"/>
        <v>0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</row>
    <row r="52" spans="1:21" x14ac:dyDescent="0.25">
      <c r="A52" s="53">
        <f t="shared" si="0"/>
        <v>0</v>
      </c>
      <c r="B52" s="53" t="str">
        <f t="shared" si="0"/>
        <v>__</v>
      </c>
      <c r="C52" s="53">
        <f t="shared" si="2"/>
        <v>0</v>
      </c>
      <c r="D52" s="53">
        <f t="shared" si="1"/>
        <v>0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spans="1:21" x14ac:dyDescent="0.25">
      <c r="A53" s="53">
        <f t="shared" si="0"/>
        <v>0</v>
      </c>
      <c r="B53" s="53" t="str">
        <f t="shared" si="0"/>
        <v>__</v>
      </c>
      <c r="C53" s="53">
        <f t="shared" si="2"/>
        <v>0</v>
      </c>
      <c r="D53" s="53">
        <f t="shared" si="1"/>
        <v>0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21" x14ac:dyDescent="0.25">
      <c r="A54" s="53">
        <f t="shared" si="0"/>
        <v>0</v>
      </c>
      <c r="B54" s="53" t="str">
        <f t="shared" si="0"/>
        <v>__</v>
      </c>
      <c r="C54" s="53">
        <f t="shared" si="2"/>
        <v>0</v>
      </c>
      <c r="D54" s="53">
        <f t="shared" si="1"/>
        <v>0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21" x14ac:dyDescent="0.25">
      <c r="A55" s="53">
        <f t="shared" ref="A55:B58" si="3">A105</f>
        <v>0</v>
      </c>
      <c r="B55" s="53" t="str">
        <f t="shared" si="3"/>
        <v>__</v>
      </c>
      <c r="C55" s="53">
        <f t="shared" si="2"/>
        <v>0</v>
      </c>
      <c r="D55" s="53">
        <f t="shared" si="1"/>
        <v>0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x14ac:dyDescent="0.25">
      <c r="A56" s="53">
        <f t="shared" si="3"/>
        <v>0</v>
      </c>
      <c r="B56" s="53" t="str">
        <f t="shared" si="3"/>
        <v>__</v>
      </c>
      <c r="C56" s="53">
        <f t="shared" si="2"/>
        <v>0</v>
      </c>
      <c r="D56" s="53">
        <f t="shared" si="1"/>
        <v>0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spans="1:21" x14ac:dyDescent="0.25">
      <c r="A57" s="53">
        <f t="shared" si="3"/>
        <v>0</v>
      </c>
      <c r="B57" s="53" t="str">
        <f t="shared" si="3"/>
        <v>__</v>
      </c>
      <c r="C57" s="53">
        <f t="shared" si="2"/>
        <v>0</v>
      </c>
      <c r="D57" s="53">
        <f t="shared" si="1"/>
        <v>0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x14ac:dyDescent="0.25">
      <c r="A58" s="53">
        <f t="shared" si="3"/>
        <v>0</v>
      </c>
      <c r="B58" s="53" t="str">
        <f t="shared" si="3"/>
        <v>__</v>
      </c>
      <c r="C58" s="53">
        <f t="shared" si="2"/>
        <v>0</v>
      </c>
      <c r="D58" s="53">
        <f t="shared" si="1"/>
        <v>0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x14ac:dyDescent="0.25">
      <c r="A59" s="55">
        <f t="shared" ref="A59:B61" si="4">A109</f>
        <v>0</v>
      </c>
      <c r="B59" s="53" t="str">
        <f t="shared" si="4"/>
        <v>__</v>
      </c>
      <c r="C59" s="53">
        <f>E109</f>
        <v>0</v>
      </c>
      <c r="D59" s="53">
        <f t="shared" si="1"/>
        <v>0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 x14ac:dyDescent="0.25">
      <c r="A60" s="55">
        <f t="shared" si="4"/>
        <v>0</v>
      </c>
      <c r="B60" s="53" t="str">
        <f t="shared" si="4"/>
        <v>__</v>
      </c>
      <c r="C60" s="87">
        <f>C110</f>
        <v>0</v>
      </c>
      <c r="D60" s="53">
        <f t="shared" si="1"/>
        <v>0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25">
      <c r="A61" s="55">
        <f t="shared" si="4"/>
        <v>0</v>
      </c>
      <c r="B61" s="53" t="str">
        <f t="shared" si="4"/>
        <v>__</v>
      </c>
      <c r="C61" s="53">
        <f>E111</f>
        <v>0</v>
      </c>
      <c r="D61" s="53">
        <f t="shared" si="1"/>
        <v>0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5">
      <c r="A62" s="53">
        <f t="shared" ref="A62:B64" si="5">A112</f>
        <v>0</v>
      </c>
      <c r="B62" s="53" t="str">
        <f t="shared" si="5"/>
        <v>__</v>
      </c>
      <c r="C62" s="53">
        <f>E112</f>
        <v>0</v>
      </c>
      <c r="D62" s="53">
        <f t="shared" si="1"/>
        <v>0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1:21" x14ac:dyDescent="0.25">
      <c r="A63" s="53">
        <f t="shared" si="5"/>
        <v>0</v>
      </c>
      <c r="B63" s="53" t="str">
        <f t="shared" si="5"/>
        <v>__</v>
      </c>
      <c r="C63" s="53">
        <f>E113</f>
        <v>0</v>
      </c>
      <c r="D63" s="56">
        <f t="shared" si="1"/>
        <v>0</v>
      </c>
      <c r="E63" s="35" t="s">
        <v>93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spans="1:21" x14ac:dyDescent="0.25">
      <c r="A64" s="53">
        <f t="shared" si="5"/>
        <v>0</v>
      </c>
      <c r="B64" s="53" t="str">
        <f t="shared" si="5"/>
        <v>__</v>
      </c>
      <c r="C64" s="58">
        <f>E114</f>
        <v>0</v>
      </c>
      <c r="D64" s="58">
        <f t="shared" si="1"/>
        <v>0</v>
      </c>
      <c r="E64" s="35" t="s">
        <v>92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spans="1:22" x14ac:dyDescent="0.25">
      <c r="A65" s="65">
        <f>A115</f>
        <v>0</v>
      </c>
      <c r="B65" s="65" t="str">
        <f>B115</f>
        <v>__</v>
      </c>
      <c r="C65" s="112">
        <f>E115</f>
        <v>0</v>
      </c>
      <c r="D65" s="112">
        <f t="shared" si="1"/>
        <v>0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2" s="6" customFormat="1" x14ac:dyDescent="0.25">
      <c r="A66" s="37"/>
      <c r="B66" s="37"/>
      <c r="C66" s="59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</row>
    <row r="67" spans="1:22" s="6" customFormat="1" x14ac:dyDescent="0.25">
      <c r="A67" s="37"/>
      <c r="B67" s="71" t="str">
        <f>SAP!A69</f>
        <v>Zamówienie szablonów i dokumentacji</v>
      </c>
      <c r="C67" s="59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</row>
    <row r="68" spans="1:22" s="6" customFormat="1" x14ac:dyDescent="0.25">
      <c r="A68" s="37"/>
      <c r="B68" s="53" t="str">
        <f>SAP!A70</f>
        <v>Certyfikat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</row>
    <row r="69" spans="1:22" s="6" customFormat="1" hidden="1" x14ac:dyDescent="0.25">
      <c r="A69" s="5"/>
      <c r="B69" s="5"/>
      <c r="C69" s="5"/>
      <c r="D69" s="5"/>
      <c r="E69" s="5"/>
    </row>
    <row r="70" spans="1:22" s="6" customFormat="1" hidden="1" x14ac:dyDescent="0.25"/>
    <row r="71" spans="1:22" s="6" customFormat="1" hidden="1" x14ac:dyDescent="0.25"/>
    <row r="72" spans="1:22" s="6" customFormat="1" hidden="1" x14ac:dyDescent="0.25">
      <c r="C72" s="6" t="str">
        <f>SAP!A8</f>
        <v>Aluplast</v>
      </c>
      <c r="D72" s="6" t="str">
        <f>SAP!A80</f>
        <v>Klamka 200mm</v>
      </c>
      <c r="F72" s="6" t="str">
        <f>SAP!A89</f>
        <v>R01.1 Naturalny srebrny</v>
      </c>
      <c r="H72" s="6" t="str">
        <f>SAP!A101</f>
        <v>brak</v>
      </c>
    </row>
    <row r="73" spans="1:22" s="6" customFormat="1" hidden="1" x14ac:dyDescent="0.25">
      <c r="C73" s="6" t="str">
        <f>SAP!A9</f>
        <v>Drewno</v>
      </c>
      <c r="D73" s="6" t="str">
        <f>SAP!A82</f>
        <v>Klamka 200mm 100Nm</v>
      </c>
      <c r="F73" s="6" t="str">
        <f>SAP!A90</f>
        <v>R01.2 Nowy srebrny</v>
      </c>
      <c r="H73" s="6" t="str">
        <f>SAP!A102</f>
        <v>R01.1 Naturalny srebrny</v>
      </c>
    </row>
    <row r="74" spans="1:22" s="6" customFormat="1" hidden="1" x14ac:dyDescent="0.25">
      <c r="C74" s="6" t="str">
        <f>SAP!A10</f>
        <v>Gealan</v>
      </c>
      <c r="D74" s="6" t="str">
        <f>SAP!A83</f>
        <v>Klamka 200mm obustronna</v>
      </c>
      <c r="F74" s="6" t="str">
        <f>SAP!A91</f>
        <v>R01.3 Tytan</v>
      </c>
      <c r="H74" s="6" t="str">
        <f>SAP!A103</f>
        <v>R01.3 Tytan</v>
      </c>
    </row>
    <row r="75" spans="1:22" s="6" customFormat="1" hidden="1" x14ac:dyDescent="0.25">
      <c r="D75" s="7">
        <v>1</v>
      </c>
      <c r="F75" s="6" t="str">
        <f>SAP!A92</f>
        <v>R01.5 Srebrny</v>
      </c>
      <c r="H75" s="6" t="str">
        <f>SAP!A104</f>
        <v>R05.3 Średni brąz</v>
      </c>
    </row>
    <row r="76" spans="1:22" s="6" customFormat="1" hidden="1" x14ac:dyDescent="0.25">
      <c r="F76" s="6" t="str">
        <f>SAP!A93</f>
        <v>R02.2 Antracyt</v>
      </c>
      <c r="H76" s="6" t="str">
        <f>SAP!A105</f>
        <v>R05.5 Brązowy</v>
      </c>
    </row>
    <row r="77" spans="1:22" s="6" customFormat="1" hidden="1" x14ac:dyDescent="0.25">
      <c r="D77" s="6" t="s">
        <v>192</v>
      </c>
      <c r="F77" s="6" t="str">
        <f>SAP!A94</f>
        <v>R05.3 Średni brąz</v>
      </c>
      <c r="H77" s="6" t="str">
        <f>SAP!A106</f>
        <v>R07.2 Biały</v>
      </c>
    </row>
    <row r="78" spans="1:22" s="6" customFormat="1" hidden="1" x14ac:dyDescent="0.25">
      <c r="D78" s="6" t="s">
        <v>193</v>
      </c>
      <c r="F78" s="6" t="str">
        <f>SAP!A95</f>
        <v>R05.4 Ciemny brąz</v>
      </c>
      <c r="H78" s="6" t="str">
        <f>SAP!A107</f>
        <v>R06.2 Czarny (pochwyt IS)</v>
      </c>
    </row>
    <row r="79" spans="1:22" s="6" customFormat="1" hidden="1" x14ac:dyDescent="0.25">
      <c r="B79" s="6" t="str">
        <f>IF(C244=1,C237,IF(C244=2,C238))</f>
        <v>Lewe --&gt;</v>
      </c>
      <c r="D79" s="6" t="s">
        <v>194</v>
      </c>
      <c r="F79" s="6" t="str">
        <f>SAP!A96</f>
        <v>R05.5 Brązowy</v>
      </c>
      <c r="H79" s="7">
        <v>1</v>
      </c>
    </row>
    <row r="80" spans="1:22" s="6" customFormat="1" hidden="1" x14ac:dyDescent="0.25">
      <c r="D80" s="6" t="str">
        <f>SAP!A87</f>
        <v>100mm dwustronna</v>
      </c>
      <c r="F80" s="6" t="str">
        <f>SAP!A97</f>
        <v>R06.2M Czarny Mat</v>
      </c>
      <c r="J80" s="6" t="e">
        <f>IF(#REF!=1," ",IF(#REF!=2,SAP!#REF!))</f>
        <v>#REF!</v>
      </c>
    </row>
    <row r="81" spans="1:6" s="6" customFormat="1" hidden="1" x14ac:dyDescent="0.25">
      <c r="D81" s="6" t="str">
        <f>SAP!A88</f>
        <v>135mm dwustronna</v>
      </c>
      <c r="F81" s="6" t="str">
        <f>SAP!A98</f>
        <v>R07.2 Biały</v>
      </c>
    </row>
    <row r="82" spans="1:6" s="6" customFormat="1" hidden="1" x14ac:dyDescent="0.25">
      <c r="D82" s="8">
        <v>3</v>
      </c>
      <c r="F82" s="6" t="str">
        <f>SAP!A99</f>
        <v>R07.3 Kremowy</v>
      </c>
    </row>
    <row r="83" spans="1:6" s="6" customFormat="1" hidden="1" x14ac:dyDescent="0.25">
      <c r="B83" s="6" t="s">
        <v>66</v>
      </c>
      <c r="F83" s="7">
        <v>5</v>
      </c>
    </row>
    <row r="84" spans="1:6" s="6" customFormat="1" hidden="1" x14ac:dyDescent="0.25">
      <c r="B84" s="9">
        <v>1</v>
      </c>
      <c r="C84" s="6" t="s">
        <v>3</v>
      </c>
      <c r="D84" s="6" t="s">
        <v>0</v>
      </c>
    </row>
    <row r="85" spans="1:6" s="6" customFormat="1" ht="23.25" hidden="1" x14ac:dyDescent="0.35">
      <c r="C85" s="10">
        <f>IF(B84=1,C13-163,IF(B84=3,C13-177,IF(B84=2,C13-134)))</f>
        <v>2147</v>
      </c>
      <c r="D85" s="10">
        <f>IF(B84=1,C12/2-15-60,IF(B84=3,C12/2-67,IF(B84=2,C12/2-61+7)))</f>
        <v>810</v>
      </c>
      <c r="E85" s="6" t="s">
        <v>27</v>
      </c>
      <c r="F85" s="6" t="s">
        <v>75</v>
      </c>
    </row>
    <row r="86" spans="1:6" s="6" customFormat="1" hidden="1" x14ac:dyDescent="0.25">
      <c r="C86" s="6" t="s">
        <v>3</v>
      </c>
      <c r="D86" s="6" t="s">
        <v>0</v>
      </c>
      <c r="E86" s="11">
        <f>C18</f>
        <v>1</v>
      </c>
    </row>
    <row r="87" spans="1:6" s="6" customFormat="1" hidden="1" x14ac:dyDescent="0.25">
      <c r="C87" s="11">
        <f>C85</f>
        <v>2147</v>
      </c>
      <c r="D87" s="11">
        <f>D85</f>
        <v>810</v>
      </c>
      <c r="F87" s="11" t="str">
        <f>IF(C87/D87&lt;=2,SAP!A43,IF(C87/D87&gt;2,SAP!A44))</f>
        <v>nieprawidłowe</v>
      </c>
    </row>
    <row r="88" spans="1:6" s="6" customFormat="1" hidden="1" x14ac:dyDescent="0.25"/>
    <row r="89" spans="1:6" s="6" customFormat="1" hidden="1" x14ac:dyDescent="0.25">
      <c r="A89" s="6" t="str">
        <f>IF(B84=1,"!",IF(B84=2,N168,IF(B84=3,"!")))</f>
        <v>!</v>
      </c>
      <c r="B89" s="6" t="str">
        <f>IF(SAP!$A$7=1,VLOOKUP(A89,SAP!$1:$1048576,2,FALSE),IF(SAP!$A$7=2,VLOOKUP(A89,SAP!$1:$1048576,5,FALSE),IF(SAP!$A$7=3,VLOOKUP(A89,SAP!$1:$1048576,6,FALSE),IF(SAP!$A$7=4,VLOOKUP(A89,SAP!$1:$1048576,7,FALSE)))))</f>
        <v>DOBÓR NIEMOŻLIWY</v>
      </c>
      <c r="C89" s="6">
        <f>F175</f>
        <v>1</v>
      </c>
      <c r="E89" s="6">
        <f>IF(A89="!",0,IF(A89&lt;&gt;"!",C89))</f>
        <v>0</v>
      </c>
    </row>
    <row r="90" spans="1:6" s="6" customFormat="1" hidden="1" x14ac:dyDescent="0.25">
      <c r="A90" s="6">
        <f>IF(B84=1,0,IF(B84=2,G213,IF(B84=3,0)))</f>
        <v>0</v>
      </c>
      <c r="B90" s="6" t="str">
        <f>IF(SAP!$A$7=1,VLOOKUP(A90,SAP!$1:$1048576,2,FALSE),IF(SAP!$A$7=2,VLOOKUP(A90,SAP!$1:$1048576,5,FALSE),IF(SAP!$A$7=3,VLOOKUP(A90,SAP!$1:$1048576,6,FALSE),IF(SAP!$A$7=4,VLOOKUP(A90,SAP!$1:$1048576,7,FALSE)))))</f>
        <v>__</v>
      </c>
      <c r="C90" s="6">
        <f>F213</f>
        <v>1</v>
      </c>
      <c r="E90" s="6">
        <f>IF(A90=0,0,IF(A90&lt;&gt;0,C90))</f>
        <v>0</v>
      </c>
    </row>
    <row r="91" spans="1:6" s="6" customFormat="1" hidden="1" x14ac:dyDescent="0.25">
      <c r="A91" s="6">
        <f>IF(B84=1,0,IF(B84=2,G222,IF(B84=3,0)))</f>
        <v>0</v>
      </c>
      <c r="B91" s="6" t="str">
        <f>IF(SAP!$A$7=1,VLOOKUP(A91,SAP!$1:$1048576,2,FALSE),IF(SAP!$A$7=2,VLOOKUP(A91,SAP!$1:$1048576,5,FALSE),IF(SAP!$A$7=3,VLOOKUP(A91,SAP!$1:$1048576,6,FALSE),IF(SAP!$A$7=4,VLOOKUP(A91,SAP!$1:$1048576,7,FALSE)))))</f>
        <v>__</v>
      </c>
      <c r="C91" s="6">
        <f>F222*2</f>
        <v>2</v>
      </c>
      <c r="E91" s="6">
        <f t="shared" ref="E91:E115" si="6">IF(A91=0,0,IF(A91&lt;&gt;0,C91))</f>
        <v>0</v>
      </c>
      <c r="F91" s="6" t="str">
        <f>IF(A91=0,SAP!A71,IF(A91&lt;&gt;0,""))</f>
        <v>Uwaga! Zamknięcie środkowe nie zostało dobrane z uwagi na niepoprawną szerokość skrzydła</v>
      </c>
    </row>
    <row r="92" spans="1:6" s="6" customFormat="1" hidden="1" x14ac:dyDescent="0.25">
      <c r="A92" s="6">
        <f>IF(B84=1,0,IF(B84=2,G230,IF(B84=3,0)))</f>
        <v>0</v>
      </c>
      <c r="B92" s="6" t="str">
        <f>IF(SAP!$A$7=1,VLOOKUP(A92,SAP!$1:$1048576,2,FALSE),IF(SAP!$A$7=2,VLOOKUP(A92,SAP!$1:$1048576,5,FALSE),IF(SAP!$A$7=3,VLOOKUP(A92,SAP!$1:$1048576,6,FALSE),IF(SAP!$A$7=4,VLOOKUP(A92,SAP!$1:$1048576,7,FALSE)))))</f>
        <v>__</v>
      </c>
      <c r="C92" s="6">
        <f>F230</f>
        <v>1</v>
      </c>
      <c r="E92" s="6">
        <f t="shared" si="6"/>
        <v>0</v>
      </c>
    </row>
    <row r="93" spans="1:6" s="6" customFormat="1" hidden="1" x14ac:dyDescent="0.25">
      <c r="A93" s="6">
        <f>IF(B84=1,0,IF(B84=2,M230,IF(B84=3,0)))</f>
        <v>0</v>
      </c>
      <c r="B93" s="6" t="str">
        <f>IF(SAP!$A$7=1,VLOOKUP(A93,SAP!$1:$1048576,2,FALSE),IF(SAP!$A$7=2,VLOOKUP(A93,SAP!$1:$1048576,5,FALSE),IF(SAP!$A$7=3,VLOOKUP(A93,SAP!$1:$1048576,6,FALSE),IF(SAP!$A$7=4,VLOOKUP(A93,SAP!$1:$1048576,7,FALSE)))))</f>
        <v>__</v>
      </c>
      <c r="C93" s="6">
        <f>L230</f>
        <v>1</v>
      </c>
      <c r="E93" s="6">
        <f t="shared" si="6"/>
        <v>0</v>
      </c>
    </row>
    <row r="94" spans="1:6" s="6" customFormat="1" hidden="1" x14ac:dyDescent="0.25">
      <c r="A94" s="6">
        <f>IF(B84=1,0,IF(B84=2,S230,IF(B84=3,0)))</f>
        <v>0</v>
      </c>
      <c r="B94" s="6" t="str">
        <f>IF(SAP!$A$7=1,VLOOKUP(A94,SAP!$1:$1048576,2,FALSE),IF(SAP!$A$7=2,VLOOKUP(A94,SAP!$1:$1048576,5,FALSE),IF(SAP!$A$7=3,VLOOKUP(A94,SAP!$1:$1048576,6,FALSE),IF(SAP!$A$7=4,VLOOKUP(A94,SAP!$1:$1048576,7,FALSE)))))</f>
        <v>__</v>
      </c>
      <c r="C94" s="6">
        <f>R230</f>
        <v>0</v>
      </c>
      <c r="E94" s="6">
        <f t="shared" si="6"/>
        <v>0</v>
      </c>
    </row>
    <row r="95" spans="1:6" s="6" customFormat="1" hidden="1" x14ac:dyDescent="0.25">
      <c r="A95" s="6">
        <f>IF(B84=1,0,IF(B84=2,A232,IF(B84=3,0)))</f>
        <v>0</v>
      </c>
      <c r="B95" s="6" t="str">
        <f>IF(SAP!$A$7=1,VLOOKUP(A95,SAP!$1:$1048576,2,FALSE),IF(SAP!$A$7=2,VLOOKUP(A95,SAP!$1:$1048576,5,FALSE),IF(SAP!$A$7=3,VLOOKUP(A95,SAP!$1:$1048576,6,FALSE),IF(SAP!$A$7=4,VLOOKUP(A95,SAP!$1:$1048576,7,FALSE)))))</f>
        <v>__</v>
      </c>
      <c r="C95" s="6">
        <f>C232</f>
        <v>2</v>
      </c>
      <c r="E95" s="6">
        <f t="shared" si="6"/>
        <v>0</v>
      </c>
    </row>
    <row r="96" spans="1:6" s="6" customFormat="1" hidden="1" x14ac:dyDescent="0.25">
      <c r="A96" s="6">
        <f>IF(B84=1,0,IF(B84=2,A233,IF(B84=3,0)))</f>
        <v>0</v>
      </c>
      <c r="B96" s="6" t="str">
        <f>IF(SAP!$A$7=1,VLOOKUP(A96,SAP!$1:$1048576,2,FALSE),IF(SAP!$A$7=2,VLOOKUP(A96,SAP!$1:$1048576,5,FALSE),IF(SAP!$A$7=3,VLOOKUP(A96,SAP!$1:$1048576,6,FALSE),IF(SAP!$A$7=4,VLOOKUP(A96,SAP!$1:$1048576,7,FALSE)))))</f>
        <v>__</v>
      </c>
      <c r="C96" s="6">
        <f>C233</f>
        <v>2</v>
      </c>
      <c r="E96" s="6">
        <f t="shared" si="6"/>
        <v>0</v>
      </c>
    </row>
    <row r="97" spans="1:5" s="6" customFormat="1" hidden="1" x14ac:dyDescent="0.25">
      <c r="A97" s="6">
        <f>IF(B84=1,0,IF(B84=2,IF(C244=1,A243,IF(C244=2,A242)),IF(B84=3,0)))</f>
        <v>0</v>
      </c>
      <c r="B97" s="6" t="str">
        <f>IF(SAP!$A$7=1,VLOOKUP(A97,SAP!$1:$1048576,2,FALSE),IF(SAP!$A$7=2,VLOOKUP(A97,SAP!$1:$1048576,5,FALSE),IF(SAP!$A$7=3,VLOOKUP(A97,SAP!$1:$1048576,6,FALSE),IF(SAP!$A$7=4,VLOOKUP(A97,SAP!$1:$1048576,7,FALSE)))))</f>
        <v>__</v>
      </c>
      <c r="C97" s="6">
        <f>SUM(2,IF(D87&gt;=1061,1))</f>
        <v>2</v>
      </c>
      <c r="E97" s="6">
        <f t="shared" si="6"/>
        <v>0</v>
      </c>
    </row>
    <row r="98" spans="1:5" s="6" customFormat="1" hidden="1" x14ac:dyDescent="0.25">
      <c r="A98" s="6">
        <f>IF(B84=1,0,IF(B84=2,IF(C244=1,A248,IF(C244=2,A247)),IF(B84=3,0)))</f>
        <v>0</v>
      </c>
      <c r="B98" s="6" t="str">
        <f>IF(SAP!$A$7=1,VLOOKUP(A98,SAP!$1:$1048576,2,FALSE),IF(SAP!$A$7=2,VLOOKUP(A98,SAP!$1:$1048576,5,FALSE),IF(SAP!$A$7=3,VLOOKUP(A98,SAP!$1:$1048576,6,FALSE),IF(SAP!$A$7=4,VLOOKUP(A98,SAP!$1:$1048576,7,FALSE)))))</f>
        <v>__</v>
      </c>
      <c r="C98" s="6">
        <f>SUM(2,IF(D87&gt;=1061,1))</f>
        <v>2</v>
      </c>
      <c r="E98" s="6">
        <f t="shared" si="6"/>
        <v>0</v>
      </c>
    </row>
    <row r="99" spans="1:5" s="6" customFormat="1" hidden="1" x14ac:dyDescent="0.25">
      <c r="A99" s="6">
        <f>IF(B84=1,0,IF(B84=2,IF(C244=1,A253,IF(C244=2,A252)),IF(B84=3,0)))</f>
        <v>0</v>
      </c>
      <c r="B99" s="6" t="str">
        <f>IF(SAP!$A$7=1,VLOOKUP(A99,SAP!$1:$1048576,2,FALSE),IF(SAP!$A$7=2,VLOOKUP(A99,SAP!$1:$1048576,5,FALSE),IF(SAP!$A$7=3,VLOOKUP(A99,SAP!$1:$1048576,6,FALSE),IF(SAP!$A$7=4,VLOOKUP(A99,SAP!$1:$1048576,7,FALSE)))))</f>
        <v>__</v>
      </c>
      <c r="C99" s="6">
        <f>C250</f>
        <v>3</v>
      </c>
      <c r="E99" s="6">
        <f t="shared" si="6"/>
        <v>0</v>
      </c>
    </row>
    <row r="100" spans="1:5" s="6" customFormat="1" hidden="1" x14ac:dyDescent="0.25">
      <c r="A100" s="6">
        <f>IF(B84=1,0,IF(B84=2,A255,IF(B84=3,0)))</f>
        <v>0</v>
      </c>
      <c r="B100" s="6" t="str">
        <f>IF(SAP!$A$7=1,VLOOKUP(A100,SAP!$1:$1048576,2,FALSE),IF(SAP!$A$7=2,VLOOKUP(A100,SAP!$1:$1048576,5,FALSE),IF(SAP!$A$7=3,VLOOKUP(A100,SAP!$1:$1048576,6,FALSE),IF(SAP!$A$7=4,VLOOKUP(A100,SAP!$1:$1048576,7,FALSE)))))</f>
        <v>__</v>
      </c>
      <c r="C100" s="6">
        <f>C255</f>
        <v>6</v>
      </c>
      <c r="E100" s="6">
        <f t="shared" si="6"/>
        <v>0</v>
      </c>
    </row>
    <row r="101" spans="1:5" s="6" customFormat="1" hidden="1" x14ac:dyDescent="0.25">
      <c r="A101" s="6">
        <f>IF(B84=1,0,IF(B84=2,A257,IF(B84=3,0)))</f>
        <v>0</v>
      </c>
      <c r="B101" s="6" t="str">
        <f>IF(SAP!$A$7=1,VLOOKUP(A101,SAP!$1:$1048576,2,FALSE),IF(SAP!$A$7=2,VLOOKUP(A101,SAP!$1:$1048576,5,FALSE),IF(SAP!$A$7=3,VLOOKUP(A101,SAP!$1:$1048576,6,FALSE),IF(SAP!$A$7=4,VLOOKUP(A101,SAP!$1:$1048576,7,FALSE)))))</f>
        <v>__</v>
      </c>
      <c r="C101" s="6">
        <f>R232</f>
        <v>3</v>
      </c>
      <c r="E101" s="6">
        <f t="shared" si="6"/>
        <v>0</v>
      </c>
    </row>
    <row r="102" spans="1:5" s="6" customFormat="1" hidden="1" x14ac:dyDescent="0.25">
      <c r="A102" s="6">
        <f>IF(B84=1,0,IF(B84=2,A263,IF(B84=3,0)))</f>
        <v>0</v>
      </c>
      <c r="B102" s="6" t="str">
        <f>IF(SAP!$A$7=1,VLOOKUP(A102,SAP!$1:$1048576,2,FALSE),IF(SAP!$A$7=2,VLOOKUP(A102,SAP!$1:$1048576,5,FALSE),IF(SAP!$A$7=3,VLOOKUP(A102,SAP!$1:$1048576,6,FALSE),IF(SAP!$A$7=4,VLOOKUP(A102,SAP!$1:$1048576,7,FALSE)))))</f>
        <v>__</v>
      </c>
      <c r="C102" s="6">
        <f>C262</f>
        <v>3</v>
      </c>
      <c r="E102" s="6">
        <f t="shared" si="6"/>
        <v>0</v>
      </c>
    </row>
    <row r="103" spans="1:5" s="6" customFormat="1" hidden="1" x14ac:dyDescent="0.25">
      <c r="A103" s="6">
        <f>IF(B84=1,0,IF(B84=2,D103,IF(B84=3,0)))</f>
        <v>0</v>
      </c>
      <c r="B103" s="6" t="str">
        <f>IF(SAP!$A$7=1,VLOOKUP(A103,SAP!$1:$1048576,2,FALSE),IF(SAP!$A$7=2,VLOOKUP(A103,SAP!$1:$1048576,5,FALSE),IF(SAP!$A$7=3,VLOOKUP(A103,SAP!$1:$1048576,6,FALSE),IF(SAP!$A$7=4,VLOOKUP(A103,SAP!$1:$1048576,7,FALSE)))))</f>
        <v>__</v>
      </c>
      <c r="C103" s="6">
        <f>C265</f>
        <v>1</v>
      </c>
      <c r="D103" s="6">
        <f>IF(C87&gt;1001,A266, IF(C87&lt;=1000,0))</f>
        <v>788175</v>
      </c>
      <c r="E103" s="6">
        <f t="shared" si="6"/>
        <v>0</v>
      </c>
    </row>
    <row r="104" spans="1:5" s="6" customFormat="1" hidden="1" x14ac:dyDescent="0.25">
      <c r="A104" s="6">
        <f>IF(B84=1,0,IF(B84=2,IF(C244=1,A272,IF(C244=2,A271)),IF(B84=3,0)))</f>
        <v>0</v>
      </c>
      <c r="B104" s="6" t="str">
        <f>IF(SAP!$A$7=1,VLOOKUP(A104,SAP!$1:$1048576,2,FALSE),IF(SAP!$A$7=2,VLOOKUP(A104,SAP!$1:$1048576,5,FALSE),IF(SAP!$A$7=3,VLOOKUP(A104,SAP!$1:$1048576,6,FALSE),IF(SAP!$A$7=4,VLOOKUP(A104,SAP!$1:$1048576,7,FALSE)))))</f>
        <v>__</v>
      </c>
      <c r="C104" s="6">
        <f>E176</f>
        <v>3</v>
      </c>
      <c r="E104" s="6">
        <f t="shared" si="6"/>
        <v>0</v>
      </c>
    </row>
    <row r="105" spans="1:5" s="6" customFormat="1" hidden="1" x14ac:dyDescent="0.25">
      <c r="A105" s="6">
        <f>IF(B84=1,0,IF(B84=2,A274,IF(B84=3,0)))</f>
        <v>0</v>
      </c>
      <c r="B105" s="6" t="str">
        <f>IF(SAP!$A$7=1,VLOOKUP(A105,SAP!$1:$1048576,2,FALSE),IF(SAP!$A$7=2,VLOOKUP(A105,SAP!$1:$1048576,5,FALSE),IF(SAP!$A$7=3,VLOOKUP(A105,SAP!$1:$1048576,6,FALSE),IF(SAP!$A$7=4,VLOOKUP(A105,SAP!$1:$1048576,7,FALSE)))))</f>
        <v>__</v>
      </c>
      <c r="C105" s="6">
        <f>2</f>
        <v>2</v>
      </c>
      <c r="E105" s="6">
        <f t="shared" si="6"/>
        <v>0</v>
      </c>
    </row>
    <row r="106" spans="1:5" s="6" customFormat="1" hidden="1" x14ac:dyDescent="0.25">
      <c r="A106" s="6">
        <f>IF(B84=1,0,IF(B84=2,A277,IF(B84=3,0)))</f>
        <v>0</v>
      </c>
      <c r="B106" s="6" t="str">
        <f>IF(SAP!$A$7=1,VLOOKUP(A106,SAP!$1:$1048576,2,FALSE),IF(SAP!$A$7=2,VLOOKUP(A106,SAP!$1:$1048576,5,FALSE),IF(SAP!$A$7=3,VLOOKUP(A106,SAP!$1:$1048576,6,FALSE),IF(SAP!$A$7=4,VLOOKUP(A106,SAP!$1:$1048576,7,FALSE)))))</f>
        <v>__</v>
      </c>
      <c r="C106" s="6">
        <f>2</f>
        <v>2</v>
      </c>
      <c r="E106" s="6">
        <f t="shared" si="6"/>
        <v>0</v>
      </c>
    </row>
    <row r="107" spans="1:5" s="6" customFormat="1" hidden="1" x14ac:dyDescent="0.25">
      <c r="A107" s="6">
        <f>IF(B84=1,0,IF(B84=2,D107,IF(B84=3,0)))</f>
        <v>0</v>
      </c>
      <c r="B107" s="6" t="str">
        <f>IF(SAP!$A$7=1,VLOOKUP(A107,SAP!$1:$1048576,2,FALSE),IF(SAP!$A$7=2,VLOOKUP(A107,SAP!$1:$1048576,5,FALSE),IF(SAP!$A$7=3,VLOOKUP(A107,SAP!$1:$1048576,6,FALSE),IF(SAP!$A$7=4,VLOOKUP(A107,SAP!$1:$1048576,7,FALSE)))))</f>
        <v>__</v>
      </c>
      <c r="C107" s="6">
        <f>C250</f>
        <v>3</v>
      </c>
      <c r="D107" s="6">
        <f>IF(E279=1,A279,IF(E279=2,A280,IF(E279=3,A281,IF(E279=4,A282))))</f>
        <v>819632</v>
      </c>
      <c r="E107" s="6">
        <f t="shared" si="6"/>
        <v>0</v>
      </c>
    </row>
    <row r="108" spans="1:5" s="6" customFormat="1" hidden="1" x14ac:dyDescent="0.25">
      <c r="A108" s="6">
        <f>IF(B84=1,0,IF(B84=2,D108,IF(B84=3,0)))</f>
        <v>0</v>
      </c>
      <c r="B108" s="6" t="str">
        <f>IF(SAP!$A$7=1,VLOOKUP(A108,SAP!$1:$1048576,2,FALSE),IF(SAP!$A$7=2,VLOOKUP(A108,SAP!$1:$1048576,5,FALSE),IF(SAP!$A$7=3,VLOOKUP(A108,SAP!$1:$1048576,6,FALSE),IF(SAP!$A$7=4,VLOOKUP(A108,SAP!$1:$1048576,7,FALSE)))))</f>
        <v>__</v>
      </c>
      <c r="C108" s="6">
        <f>1</f>
        <v>1</v>
      </c>
      <c r="D108" s="6">
        <f>IF(G378&lt;&gt;0,G378,IF(G378=0,"niemożliwe"))</f>
        <v>820797</v>
      </c>
      <c r="E108" s="6">
        <f t="shared" si="6"/>
        <v>0</v>
      </c>
    </row>
    <row r="109" spans="1:5" s="6" customFormat="1" hidden="1" x14ac:dyDescent="0.25">
      <c r="A109" s="12">
        <f>IF(B84=1,0,IF(B84=2,D401,IF(B84=3,0)))</f>
        <v>0</v>
      </c>
      <c r="B109" s="6" t="str">
        <f>IF(SAP!$A$7=1,VLOOKUP(A109,SAP!$1:$1048576,2,FALSE),IF(SAP!$A$7=2,VLOOKUP(A109,SAP!$1:$1048576,5,FALSE),IF(SAP!$A$7=3,VLOOKUP(A109,SAP!$1:$1048576,6,FALSE),IF(SAP!$A$7=4,VLOOKUP(A109,SAP!$1:$1048576,7,FALSE)))))</f>
        <v>__</v>
      </c>
      <c r="C109" s="13">
        <f>IF(A109=0,0,IF(A109&lt;&gt;0,1))</f>
        <v>0</v>
      </c>
      <c r="E109" s="6">
        <f>IF(A109=0,0,IF(A109&lt;&gt;0,C109))</f>
        <v>0</v>
      </c>
    </row>
    <row r="110" spans="1:5" s="6" customFormat="1" hidden="1" x14ac:dyDescent="0.25">
      <c r="A110" s="12">
        <f>IF(A59=0,0,IF(A59&gt;0,A386))</f>
        <v>0</v>
      </c>
      <c r="B110" s="6" t="str">
        <f>IF(SAP!$A$7=1,VLOOKUP(A110,SAP!$1:$1048576,2,FALSE),IF(SAP!$A$7=2,VLOOKUP(A110,SAP!$1:$1048576,5,FALSE),IF(SAP!$A$7=3,VLOOKUP(A110,SAP!$1:$1048576,6,FALSE),IF(SAP!$A$7=4,VLOOKUP(A110,SAP!$1:$1048576,7,FALSE)))))</f>
        <v>__</v>
      </c>
      <c r="C110" s="13">
        <f>IF(A110=0,0,IF(A110&lt;&gt;0,1))</f>
        <v>0</v>
      </c>
    </row>
    <row r="111" spans="1:5" s="6" customFormat="1" hidden="1" x14ac:dyDescent="0.25">
      <c r="A111" s="6">
        <f>IF(B84=2,A287,IF(B84=1,0,IF(B84=3,0)))</f>
        <v>0</v>
      </c>
      <c r="B111" s="6" t="str">
        <f>IF(SAP!$A$7=1,VLOOKUP(A111,SAP!$1:$1048576,2,FALSE),IF(SAP!$A$7=2,VLOOKUP(A111,SAP!$1:$1048576,5,FALSE),IF(SAP!$A$7=3,VLOOKUP(A111,SAP!$1:$1048576,6,FALSE),IF(SAP!$A$7=4,VLOOKUP(A111,SAP!$1:$1048576,7,FALSE)))))</f>
        <v>__</v>
      </c>
      <c r="C111" s="6">
        <f>IF(B84=2,1,IF(B84=1,1,IF(B84=3,1)))</f>
        <v>1</v>
      </c>
      <c r="E111" s="6">
        <f t="shared" si="6"/>
        <v>0</v>
      </c>
    </row>
    <row r="112" spans="1:5" s="6" customFormat="1" hidden="1" x14ac:dyDescent="0.25">
      <c r="A112" s="6">
        <f>IF(B84=2,A284,IF(B84=1,0,IF(B84=3,0)))</f>
        <v>0</v>
      </c>
      <c r="B112" s="6" t="str">
        <f>IF(SAP!$A$7=1,VLOOKUP(A112,SAP!$1:$1048576,2,FALSE),IF(SAP!$A$7=2,VLOOKUP(A112,SAP!$1:$1048576,5,FALSE),IF(SAP!$A$7=3,VLOOKUP(A112,SAP!$1:$1048576,6,FALSE),IF(SAP!$A$7=4,VLOOKUP(A112,SAP!$1:$1048576,7,FALSE)))))</f>
        <v>__</v>
      </c>
      <c r="C112" s="6">
        <f>IF(B84=2,1,IF(B84=1,1,IF(B84=3,1)))</f>
        <v>1</v>
      </c>
      <c r="E112" s="6">
        <f t="shared" si="6"/>
        <v>0</v>
      </c>
    </row>
    <row r="113" spans="1:7" s="6" customFormat="1" hidden="1" x14ac:dyDescent="0.25">
      <c r="A113" s="6">
        <f>IF(B84=2,A290,IF(B84=1,0,IF(B84=3,0)))</f>
        <v>0</v>
      </c>
      <c r="B113" s="6" t="str">
        <f>IF(SAP!$A$7=1,VLOOKUP(A113,SAP!$1:$1048576,2,FALSE),IF(SAP!$A$7=2,VLOOKUP(A113,SAP!$1:$1048576,5,FALSE),IF(SAP!$A$7=3,VLOOKUP(A113,SAP!$1:$1048576,6,FALSE),IF(SAP!$A$7=4,VLOOKUP(A113,SAP!$1:$1048576,7,FALSE)))))</f>
        <v>__</v>
      </c>
      <c r="C113" s="14">
        <f>ROUNDUP(IF(B84=2,(((2*D87)+(3*C87))/2100),IF(B84=1,0)),0)</f>
        <v>0</v>
      </c>
      <c r="D113" s="15" t="s">
        <v>93</v>
      </c>
      <c r="E113" s="6">
        <f t="shared" si="6"/>
        <v>0</v>
      </c>
    </row>
    <row r="114" spans="1:7" s="6" customFormat="1" hidden="1" x14ac:dyDescent="0.25">
      <c r="A114" s="6">
        <f>IF(B84=2,A291,IF(B84=1,0,IF(B84=3,0)))</f>
        <v>0</v>
      </c>
      <c r="B114" s="6" t="str">
        <f>IF(SAP!$A$7=1,VLOOKUP(A114,SAP!$1:$1048576,2,FALSE),IF(SAP!$A$7=2,VLOOKUP(A114,SAP!$1:$1048576,5,FALSE),IF(SAP!$A$7=3,VLOOKUP(A114,SAP!$1:$1048576,6,FALSE),IF(SAP!$A$7=4,VLOOKUP(A114,SAP!$1:$1048576,7,FALSE)))))</f>
        <v>__</v>
      </c>
      <c r="C114" s="14">
        <f>IF(B84=2,(C87/1000),IF(B84=1,0,IF(B84=3,0)))</f>
        <v>0</v>
      </c>
      <c r="D114" s="15" t="s">
        <v>92</v>
      </c>
      <c r="E114" s="6">
        <f t="shared" si="6"/>
        <v>0</v>
      </c>
    </row>
    <row r="115" spans="1:7" s="6" customFormat="1" hidden="1" x14ac:dyDescent="0.25">
      <c r="A115" s="12">
        <f>IF(B84=1,0,IF(B84=2,D403,IF(B84=3,0)))</f>
        <v>0</v>
      </c>
      <c r="B115" s="6" t="str">
        <f>IF(SAP!$A$7=1,VLOOKUP(A115,SAP!$1:$1048576,2,FALSE),IF(SAP!$A$7=2,VLOOKUP(A115,SAP!$1:$1048576,5,FALSE),IF(SAP!$A$7=3,VLOOKUP(A115,SAP!$1:$1048576,6,FALSE),IF(SAP!$A$7=4,VLOOKUP(A115,SAP!$1:$1048576,7,FALSE)))))</f>
        <v>__</v>
      </c>
      <c r="C115" s="111">
        <f>3</f>
        <v>3</v>
      </c>
      <c r="D115" s="110"/>
      <c r="E115" s="6">
        <f t="shared" si="6"/>
        <v>0</v>
      </c>
    </row>
    <row r="116" spans="1:7" s="6" customFormat="1" hidden="1" x14ac:dyDescent="0.25">
      <c r="C116" s="14"/>
      <c r="D116" s="110"/>
    </row>
    <row r="117" spans="1:7" s="6" customFormat="1" hidden="1" x14ac:dyDescent="0.25"/>
    <row r="118" spans="1:7" s="6" customFormat="1" hidden="1" x14ac:dyDescent="0.25">
      <c r="C118" s="6" t="s">
        <v>3</v>
      </c>
      <c r="D118" s="6" t="s">
        <v>1</v>
      </c>
      <c r="E118" s="6" t="s">
        <v>2</v>
      </c>
      <c r="F118" s="16" t="s">
        <v>4</v>
      </c>
      <c r="G118" s="6" t="s">
        <v>5</v>
      </c>
    </row>
    <row r="119" spans="1:7" s="6" customFormat="1" hidden="1" x14ac:dyDescent="0.25">
      <c r="A119" s="6">
        <v>793942</v>
      </c>
      <c r="B119" s="6" t="str">
        <f>VLOOKUP(A119,SAP!$1:$1048576,2,FALSE)</f>
        <v>Zasuwn. KSR 690/263 D25 PIN</v>
      </c>
      <c r="C119" s="6">
        <f>C87</f>
        <v>2147</v>
      </c>
      <c r="D119" s="6">
        <v>590</v>
      </c>
      <c r="E119" s="6">
        <v>800</v>
      </c>
      <c r="F119" s="16">
        <f>IF(C119&lt;D119,0,IF(C119&lt;=E119,1,IF(C119&gt;E119,0)))</f>
        <v>0</v>
      </c>
      <c r="G119" s="6">
        <f t="shared" ref="G119:G125" si="7">A119*F119</f>
        <v>0</v>
      </c>
    </row>
    <row r="120" spans="1:7" s="6" customFormat="1" hidden="1" x14ac:dyDescent="0.25">
      <c r="A120" s="6">
        <v>793943</v>
      </c>
      <c r="B120" s="6" t="str">
        <f>VLOOKUP(A120,SAP!$1:$1048576,2,FALSE)</f>
        <v>Zasuwn. KSR 890/413 D25 PIN</v>
      </c>
      <c r="C120" s="6">
        <f>C119</f>
        <v>2147</v>
      </c>
      <c r="D120" s="6">
        <v>801</v>
      </c>
      <c r="E120" s="6">
        <v>1000</v>
      </c>
      <c r="F120" s="16">
        <f t="shared" ref="F120:F125" si="8">IF(C120&lt;D120,0,IF(C120&lt;=E120,1,IF(C120&gt;E120,0)))</f>
        <v>0</v>
      </c>
      <c r="G120" s="6">
        <f t="shared" si="7"/>
        <v>0</v>
      </c>
    </row>
    <row r="121" spans="1:7" s="6" customFormat="1" hidden="1" x14ac:dyDescent="0.25">
      <c r="A121" s="6">
        <v>793944</v>
      </c>
      <c r="B121" s="6" t="str">
        <f>VLOOKUP(A121,SAP!$1:$1048576,2,FALSE)</f>
        <v>Zasuwn. KSR 1090/513 1V D25 PIN</v>
      </c>
      <c r="C121" s="6">
        <f>C119</f>
        <v>2147</v>
      </c>
      <c r="D121" s="6">
        <v>1001</v>
      </c>
      <c r="E121" s="6">
        <v>1200</v>
      </c>
      <c r="F121" s="16">
        <f t="shared" si="8"/>
        <v>0</v>
      </c>
      <c r="G121" s="6">
        <f t="shared" si="7"/>
        <v>0</v>
      </c>
    </row>
    <row r="122" spans="1:7" s="6" customFormat="1" hidden="1" x14ac:dyDescent="0.25">
      <c r="A122" s="6">
        <v>793975</v>
      </c>
      <c r="B122" s="6" t="str">
        <f>VLOOKUP(A122,SAP!$1:$1048576,2,FALSE)</f>
        <v>Zasuwn. KSR 1290/563 1V D25 PIN</v>
      </c>
      <c r="C122" s="6">
        <f>C119</f>
        <v>2147</v>
      </c>
      <c r="D122" s="6">
        <v>1201</v>
      </c>
      <c r="E122" s="6">
        <v>1600</v>
      </c>
      <c r="F122" s="16">
        <f t="shared" si="8"/>
        <v>0</v>
      </c>
      <c r="G122" s="6">
        <f t="shared" si="7"/>
        <v>0</v>
      </c>
    </row>
    <row r="123" spans="1:7" s="6" customFormat="1" hidden="1" x14ac:dyDescent="0.25">
      <c r="A123" s="6">
        <v>793977</v>
      </c>
      <c r="B123" s="6" t="str">
        <f>VLOOKUP(A123,SAP!$1:$1048576,2,FALSE)</f>
        <v>Zasuwn. KSR 1690/563 1V D25 PIN</v>
      </c>
      <c r="C123" s="6">
        <f>C119</f>
        <v>2147</v>
      </c>
      <c r="D123" s="6">
        <v>1601</v>
      </c>
      <c r="E123" s="6">
        <v>1800</v>
      </c>
      <c r="F123" s="16">
        <f t="shared" si="8"/>
        <v>0</v>
      </c>
      <c r="G123" s="6">
        <f t="shared" si="7"/>
        <v>0</v>
      </c>
    </row>
    <row r="124" spans="1:7" s="6" customFormat="1" hidden="1" x14ac:dyDescent="0.25">
      <c r="A124" s="6">
        <v>793978</v>
      </c>
      <c r="B124" s="6" t="str">
        <f>VLOOKUP(A124,SAP!$1:$1048576,2,FALSE)</f>
        <v>Zasuwn. KSR 1890/1000 2V D25 PIN</v>
      </c>
      <c r="C124" s="6">
        <f>C119</f>
        <v>2147</v>
      </c>
      <c r="D124" s="6">
        <v>1801</v>
      </c>
      <c r="E124" s="6">
        <v>2400</v>
      </c>
      <c r="F124" s="16">
        <f t="shared" si="8"/>
        <v>1</v>
      </c>
      <c r="G124" s="6">
        <f t="shared" si="7"/>
        <v>793978</v>
      </c>
    </row>
    <row r="125" spans="1:7" s="6" customFormat="1" hidden="1" x14ac:dyDescent="0.25">
      <c r="A125" s="6">
        <v>793980</v>
      </c>
      <c r="B125" s="6" t="str">
        <f>VLOOKUP(A125,SAP!$1:$1048576,2,FALSE)</f>
        <v>Zasuwn. KSR 2290/1000 2V D25 PIN</v>
      </c>
      <c r="C125" s="6">
        <f>C119</f>
        <v>2147</v>
      </c>
      <c r="D125" s="6">
        <v>2401</v>
      </c>
      <c r="E125" s="6">
        <v>2500</v>
      </c>
      <c r="F125" s="16">
        <f t="shared" si="8"/>
        <v>0</v>
      </c>
      <c r="G125" s="6">
        <f t="shared" si="7"/>
        <v>0</v>
      </c>
    </row>
    <row r="126" spans="1:7" s="6" customFormat="1" hidden="1" x14ac:dyDescent="0.25">
      <c r="F126" s="6">
        <f>SUM(F119:F125)</f>
        <v>1</v>
      </c>
      <c r="G126" s="32">
        <f>SUM(G119:G125)</f>
        <v>793978</v>
      </c>
    </row>
    <row r="127" spans="1:7" s="6" customFormat="1" hidden="1" x14ac:dyDescent="0.25">
      <c r="A127" s="6">
        <v>798285</v>
      </c>
      <c r="B127" s="6" t="str">
        <f>VLOOKUP(A127,SAP!$1:$1048576,2,FALSE)</f>
        <v>Zasuwn. KSR +PZ 1890/1000 2V D25 PIN</v>
      </c>
      <c r="C127" s="6">
        <f>C87</f>
        <v>2147</v>
      </c>
      <c r="D127" s="6">
        <v>1801</v>
      </c>
      <c r="E127" s="6">
        <v>2000</v>
      </c>
      <c r="F127" s="16">
        <f>IF(C127&lt;D127,0,IF(C127&lt;=E127,1,IF(C127&gt;E127,0)))</f>
        <v>0</v>
      </c>
      <c r="G127" s="6">
        <f>A127*F127</f>
        <v>0</v>
      </c>
    </row>
    <row r="128" spans="1:7" s="6" customFormat="1" hidden="1" x14ac:dyDescent="0.25">
      <c r="A128" s="6">
        <v>798285</v>
      </c>
      <c r="B128" s="6" t="str">
        <f>VLOOKUP(A128,SAP!$1:$1048576,2,FALSE)</f>
        <v>Zasuwn. KSR +PZ 1890/1000 2V D25 PIN</v>
      </c>
      <c r="C128" s="6">
        <f>C127</f>
        <v>2147</v>
      </c>
      <c r="D128" s="6">
        <v>2001</v>
      </c>
      <c r="E128" s="6">
        <v>2200</v>
      </c>
      <c r="F128" s="16">
        <f>IF(C128&lt;D128,0,IF(C128&lt;=E128,1,IF(C128&gt;E128,0)))</f>
        <v>1</v>
      </c>
      <c r="G128" s="6">
        <f>A128*F128</f>
        <v>798285</v>
      </c>
    </row>
    <row r="129" spans="1:7" s="6" customFormat="1" hidden="1" x14ac:dyDescent="0.25">
      <c r="A129" s="6">
        <v>798285</v>
      </c>
      <c r="B129" s="6" t="str">
        <f>VLOOKUP(A129,SAP!$1:$1048576,2,FALSE)</f>
        <v>Zasuwn. KSR +PZ 1890/1000 2V D25 PIN</v>
      </c>
      <c r="C129" s="6">
        <f>C127</f>
        <v>2147</v>
      </c>
      <c r="D129" s="6">
        <v>2201</v>
      </c>
      <c r="E129" s="6">
        <v>2400</v>
      </c>
      <c r="F129" s="16">
        <f>IF(C129&lt;D129,0,IF(C129&lt;=E129,1,IF(C129&gt;E129,0)))</f>
        <v>0</v>
      </c>
      <c r="G129" s="6">
        <f>A129*F129</f>
        <v>0</v>
      </c>
    </row>
    <row r="130" spans="1:7" s="6" customFormat="1" hidden="1" x14ac:dyDescent="0.25">
      <c r="A130" s="6">
        <v>798286</v>
      </c>
      <c r="B130" s="6" t="str">
        <f>VLOOKUP(A130,SAP!$1:$1048576,2,FALSE)</f>
        <v>Zasuwn. KSR +PZ 2290/1000 2V D25 PIN</v>
      </c>
      <c r="C130" s="6">
        <f>C127</f>
        <v>2147</v>
      </c>
      <c r="D130" s="6">
        <v>2401</v>
      </c>
      <c r="E130" s="6">
        <v>2500</v>
      </c>
      <c r="F130" s="16">
        <f>IF(C130&lt;D130,0,IF(C130&lt;=E130,1,IF(C130&gt;E130,0)))</f>
        <v>0</v>
      </c>
      <c r="G130" s="6">
        <f>A130*F130</f>
        <v>0</v>
      </c>
    </row>
    <row r="131" spans="1:7" s="6" customFormat="1" hidden="1" x14ac:dyDescent="0.25">
      <c r="F131" s="16"/>
      <c r="G131" s="11">
        <f>SUM(G127:G130)</f>
        <v>798285</v>
      </c>
    </row>
    <row r="132" spans="1:7" s="6" customFormat="1" hidden="1" x14ac:dyDescent="0.25">
      <c r="C132" s="11">
        <f>IF(C178=1,G126,IF(C178=2,G131))</f>
        <v>793978</v>
      </c>
    </row>
    <row r="133" spans="1:7" s="6" customFormat="1" hidden="1" x14ac:dyDescent="0.25"/>
    <row r="134" spans="1:7" s="6" customFormat="1" hidden="1" x14ac:dyDescent="0.25">
      <c r="A134" s="6">
        <v>785912</v>
      </c>
      <c r="B134" s="6" t="str">
        <f>VLOOKUP(A134,SAP!$1:$1048576,2,FALSE)</f>
        <v>Zasuwn. KSR 690/263 D30 PIN</v>
      </c>
      <c r="C134" s="6">
        <f>C87</f>
        <v>2147</v>
      </c>
      <c r="D134" s="6">
        <v>590</v>
      </c>
      <c r="E134" s="6">
        <v>800</v>
      </c>
      <c r="F134" s="16">
        <f>IF(C134&lt;D134,0,IF(C134&lt;=E134,1,IF(C134&gt;E134,0)))</f>
        <v>0</v>
      </c>
      <c r="G134" s="6">
        <f t="shared" ref="G134:G140" si="9">A134*F134</f>
        <v>0</v>
      </c>
    </row>
    <row r="135" spans="1:7" s="6" customFormat="1" hidden="1" x14ac:dyDescent="0.25">
      <c r="A135" s="6">
        <v>785913</v>
      </c>
      <c r="B135" s="6" t="str">
        <f>VLOOKUP(A135,SAP!$1:$1048576,2,FALSE)</f>
        <v>Zasuwn. KSR 890/413 D30 PIN</v>
      </c>
      <c r="C135" s="6">
        <f>C134</f>
        <v>2147</v>
      </c>
      <c r="D135" s="6">
        <v>801</v>
      </c>
      <c r="E135" s="6">
        <v>1000</v>
      </c>
      <c r="F135" s="16">
        <f t="shared" ref="F135:F140" si="10">IF(C135&lt;D135,0,IF(C135&lt;=E135,1,IF(C135&gt;E135,0)))</f>
        <v>0</v>
      </c>
      <c r="G135" s="6">
        <f t="shared" si="9"/>
        <v>0</v>
      </c>
    </row>
    <row r="136" spans="1:7" s="6" customFormat="1" hidden="1" x14ac:dyDescent="0.25">
      <c r="A136" s="6">
        <v>785914</v>
      </c>
      <c r="B136" s="6" t="str">
        <f>VLOOKUP(A136,SAP!$1:$1048576,2,FALSE)</f>
        <v>Zasuwn. KSR 1090/513 1V D30 PIN</v>
      </c>
      <c r="C136" s="6">
        <f>C134</f>
        <v>2147</v>
      </c>
      <c r="D136" s="6">
        <v>1001</v>
      </c>
      <c r="E136" s="6">
        <v>1200</v>
      </c>
      <c r="F136" s="16">
        <f t="shared" si="10"/>
        <v>0</v>
      </c>
      <c r="G136" s="6">
        <f t="shared" si="9"/>
        <v>0</v>
      </c>
    </row>
    <row r="137" spans="1:7" s="6" customFormat="1" hidden="1" x14ac:dyDescent="0.25">
      <c r="A137" s="6">
        <v>785915</v>
      </c>
      <c r="B137" s="6" t="str">
        <f>VLOOKUP(A137,SAP!$1:$1048576,2,FALSE)</f>
        <v>Zasuwn. KSR 1290/563 1V D30 PIN</v>
      </c>
      <c r="C137" s="6">
        <f>C134</f>
        <v>2147</v>
      </c>
      <c r="D137" s="6">
        <v>1201</v>
      </c>
      <c r="E137" s="6">
        <v>1600</v>
      </c>
      <c r="F137" s="16">
        <f t="shared" si="10"/>
        <v>0</v>
      </c>
      <c r="G137" s="6">
        <f t="shared" si="9"/>
        <v>0</v>
      </c>
    </row>
    <row r="138" spans="1:7" s="6" customFormat="1" hidden="1" x14ac:dyDescent="0.25">
      <c r="A138" s="6">
        <v>785917</v>
      </c>
      <c r="B138" s="6" t="str">
        <f>VLOOKUP(A138,SAP!$1:$1048576,2,FALSE)</f>
        <v>Zasuwn. KSR 1690/563 1V D30 PIN</v>
      </c>
      <c r="C138" s="6">
        <f>C134</f>
        <v>2147</v>
      </c>
      <c r="D138" s="6">
        <v>1601</v>
      </c>
      <c r="E138" s="6">
        <v>1800</v>
      </c>
      <c r="F138" s="16">
        <f t="shared" si="10"/>
        <v>0</v>
      </c>
      <c r="G138" s="6">
        <f t="shared" si="9"/>
        <v>0</v>
      </c>
    </row>
    <row r="139" spans="1:7" s="6" customFormat="1" hidden="1" x14ac:dyDescent="0.25">
      <c r="A139" s="6">
        <v>785918</v>
      </c>
      <c r="B139" s="6" t="str">
        <f>VLOOKUP(A139,SAP!$1:$1048576,2,FALSE)</f>
        <v>Zasuwn. KSR 1890/1000 2V D30 PIN</v>
      </c>
      <c r="C139" s="6">
        <f>C134</f>
        <v>2147</v>
      </c>
      <c r="D139" s="6">
        <v>1801</v>
      </c>
      <c r="E139" s="6">
        <v>2400</v>
      </c>
      <c r="F139" s="16">
        <f t="shared" si="10"/>
        <v>1</v>
      </c>
      <c r="G139" s="6">
        <f t="shared" si="9"/>
        <v>785918</v>
      </c>
    </row>
    <row r="140" spans="1:7" s="6" customFormat="1" hidden="1" x14ac:dyDescent="0.25">
      <c r="A140" s="6">
        <v>785920</v>
      </c>
      <c r="B140" s="6" t="str">
        <f>VLOOKUP(A140,SAP!$1:$1048576,2,FALSE)</f>
        <v>Zasuwn. KSR 2290/1000 2V D30 PIN</v>
      </c>
      <c r="C140" s="6">
        <f>C134</f>
        <v>2147</v>
      </c>
      <c r="D140" s="6">
        <v>2401</v>
      </c>
      <c r="E140" s="6">
        <v>2500</v>
      </c>
      <c r="F140" s="16">
        <f t="shared" si="10"/>
        <v>0</v>
      </c>
      <c r="G140" s="6">
        <f t="shared" si="9"/>
        <v>0</v>
      </c>
    </row>
    <row r="141" spans="1:7" s="6" customFormat="1" hidden="1" x14ac:dyDescent="0.25">
      <c r="G141" s="11">
        <f>SUM(G134:G140)</f>
        <v>785918</v>
      </c>
    </row>
    <row r="142" spans="1:7" s="6" customFormat="1" hidden="1" x14ac:dyDescent="0.25">
      <c r="A142" s="6">
        <v>798287</v>
      </c>
      <c r="B142" s="6" t="str">
        <f>VLOOKUP(A142,SAP!$1:$1048576,2,FALSE)</f>
        <v>Zasuwn. KSR +PZ 1890/1000 2V D30 PIN</v>
      </c>
      <c r="C142" s="6">
        <f>C87</f>
        <v>2147</v>
      </c>
      <c r="D142" s="6">
        <v>1801</v>
      </c>
      <c r="E142" s="6">
        <v>2000</v>
      </c>
      <c r="F142" s="16">
        <f>IF(C142&lt;D142,0,IF(C142&lt;=E142,1,IF(C142&gt;E142,0)))</f>
        <v>0</v>
      </c>
      <c r="G142" s="6">
        <f>A142*F142</f>
        <v>0</v>
      </c>
    </row>
    <row r="143" spans="1:7" s="6" customFormat="1" hidden="1" x14ac:dyDescent="0.25">
      <c r="A143" s="6">
        <v>798287</v>
      </c>
      <c r="B143" s="6" t="str">
        <f>VLOOKUP(A143,SAP!$1:$1048576,2,FALSE)</f>
        <v>Zasuwn. KSR +PZ 1890/1000 2V D30 PIN</v>
      </c>
      <c r="C143" s="6">
        <f>C142</f>
        <v>2147</v>
      </c>
      <c r="D143" s="6">
        <v>2001</v>
      </c>
      <c r="E143" s="6">
        <v>2200</v>
      </c>
      <c r="F143" s="16">
        <f>IF(C143&lt;D143,0,IF(C143&lt;=E143,1,IF(C143&gt;E143,0)))</f>
        <v>1</v>
      </c>
      <c r="G143" s="6">
        <f>A143*F143</f>
        <v>798287</v>
      </c>
    </row>
    <row r="144" spans="1:7" s="6" customFormat="1" hidden="1" x14ac:dyDescent="0.25">
      <c r="A144" s="6">
        <v>798287</v>
      </c>
      <c r="B144" s="6" t="str">
        <f>VLOOKUP(A144,SAP!$1:$1048576,2,FALSE)</f>
        <v>Zasuwn. KSR +PZ 1890/1000 2V D30 PIN</v>
      </c>
      <c r="C144" s="6">
        <f>C142</f>
        <v>2147</v>
      </c>
      <c r="D144" s="6">
        <v>2201</v>
      </c>
      <c r="E144" s="6">
        <v>2400</v>
      </c>
      <c r="F144" s="16">
        <f>IF(C144&lt;D144,0,IF(C144&lt;=E144,1,IF(C144&gt;E144,0)))</f>
        <v>0</v>
      </c>
      <c r="G144" s="6">
        <f>A144*F144</f>
        <v>0</v>
      </c>
    </row>
    <row r="145" spans="1:7" s="6" customFormat="1" hidden="1" x14ac:dyDescent="0.25">
      <c r="A145" s="6">
        <v>798288</v>
      </c>
      <c r="B145" s="6" t="str">
        <f>VLOOKUP(A145,SAP!$1:$1048576,2,FALSE)</f>
        <v>Zasuwn. KSR +PZ 2290/1000 2V D30 PIN</v>
      </c>
      <c r="C145" s="6">
        <f>C142</f>
        <v>2147</v>
      </c>
      <c r="D145" s="6">
        <v>2401</v>
      </c>
      <c r="E145" s="6">
        <v>2500</v>
      </c>
      <c r="F145" s="16">
        <f>IF(C145&lt;D145,0,IF(C145&lt;=E145,1,IF(C145&gt;E145,0)))</f>
        <v>0</v>
      </c>
      <c r="G145" s="6">
        <f>A145*F145</f>
        <v>0</v>
      </c>
    </row>
    <row r="146" spans="1:7" s="6" customFormat="1" hidden="1" x14ac:dyDescent="0.25">
      <c r="G146" s="11">
        <f>SUM(G142:G145)</f>
        <v>798287</v>
      </c>
    </row>
    <row r="147" spans="1:7" s="6" customFormat="1" hidden="1" x14ac:dyDescent="0.25">
      <c r="C147" s="11">
        <f>IF(C178=1,G141,IF(C178=2,G146))</f>
        <v>785918</v>
      </c>
    </row>
    <row r="148" spans="1:7" s="6" customFormat="1" hidden="1" x14ac:dyDescent="0.25"/>
    <row r="149" spans="1:7" s="6" customFormat="1" hidden="1" x14ac:dyDescent="0.25">
      <c r="A149" s="6">
        <v>792143</v>
      </c>
      <c r="B149" s="6" t="str">
        <f>VLOOKUP(A149,SAP!$1:$1048576,2,FALSE)</f>
        <v>Zasuwn. KSR 690/263 D40 PIN</v>
      </c>
      <c r="C149" s="6">
        <f>C87</f>
        <v>2147</v>
      </c>
      <c r="D149" s="6">
        <v>590</v>
      </c>
      <c r="E149" s="6">
        <v>800</v>
      </c>
      <c r="F149" s="16">
        <f>IF(C149&lt;D149,0,IF(C149&lt;=E149,1,IF(C149&gt;E149,0)))</f>
        <v>0</v>
      </c>
      <c r="G149" s="6">
        <f t="shared" ref="G149:G155" si="11">A149*F149</f>
        <v>0</v>
      </c>
    </row>
    <row r="150" spans="1:7" s="6" customFormat="1" hidden="1" x14ac:dyDescent="0.25">
      <c r="A150" s="6">
        <v>792144</v>
      </c>
      <c r="B150" s="6" t="str">
        <f>VLOOKUP(A150,SAP!$1:$1048576,2,FALSE)</f>
        <v>Zasuwn. KSR 890/413 D40 PIN</v>
      </c>
      <c r="C150" s="6">
        <f>C149</f>
        <v>2147</v>
      </c>
      <c r="D150" s="6">
        <v>801</v>
      </c>
      <c r="E150" s="6">
        <v>1000</v>
      </c>
      <c r="F150" s="16">
        <f t="shared" ref="F150:F155" si="12">IF(C150&lt;D150,0,IF(C150&lt;=E150,1,IF(C150&gt;E150,0)))</f>
        <v>0</v>
      </c>
      <c r="G150" s="6">
        <f t="shared" si="11"/>
        <v>0</v>
      </c>
    </row>
    <row r="151" spans="1:7" s="6" customFormat="1" hidden="1" x14ac:dyDescent="0.25">
      <c r="A151" s="6">
        <v>792185</v>
      </c>
      <c r="B151" s="6" t="str">
        <f>VLOOKUP(A151,SAP!$1:$1048576,2,FALSE)</f>
        <v>Zasuwn. KSR 1090/513 1V D40 PIN</v>
      </c>
      <c r="C151" s="6">
        <f>C149</f>
        <v>2147</v>
      </c>
      <c r="D151" s="6">
        <v>1001</v>
      </c>
      <c r="E151" s="6">
        <v>1200</v>
      </c>
      <c r="F151" s="16">
        <f t="shared" si="12"/>
        <v>0</v>
      </c>
      <c r="G151" s="6">
        <f t="shared" si="11"/>
        <v>0</v>
      </c>
    </row>
    <row r="152" spans="1:7" s="6" customFormat="1" hidden="1" x14ac:dyDescent="0.25">
      <c r="A152" s="6">
        <v>792188</v>
      </c>
      <c r="B152" s="6" t="str">
        <f>VLOOKUP(A152,SAP!$1:$1048576,2,FALSE)</f>
        <v>Zasuwn. KSR 1290/563 1V D40 PIN</v>
      </c>
      <c r="C152" s="6">
        <f>C149</f>
        <v>2147</v>
      </c>
      <c r="D152" s="6">
        <v>1201</v>
      </c>
      <c r="E152" s="6">
        <v>1600</v>
      </c>
      <c r="F152" s="16">
        <f t="shared" si="12"/>
        <v>0</v>
      </c>
      <c r="G152" s="6">
        <f t="shared" si="11"/>
        <v>0</v>
      </c>
    </row>
    <row r="153" spans="1:7" s="6" customFormat="1" hidden="1" x14ac:dyDescent="0.25">
      <c r="A153" s="6">
        <v>792190</v>
      </c>
      <c r="B153" s="6" t="str">
        <f>VLOOKUP(A153,SAP!$1:$1048576,2,FALSE)</f>
        <v>Zasuwn. KSR 1690/563 1V D40 PIN</v>
      </c>
      <c r="C153" s="6">
        <f>C149</f>
        <v>2147</v>
      </c>
      <c r="D153" s="6">
        <v>1601</v>
      </c>
      <c r="E153" s="6">
        <v>1800</v>
      </c>
      <c r="F153" s="16">
        <f t="shared" si="12"/>
        <v>0</v>
      </c>
      <c r="G153" s="6">
        <f t="shared" si="11"/>
        <v>0</v>
      </c>
    </row>
    <row r="154" spans="1:7" s="6" customFormat="1" hidden="1" x14ac:dyDescent="0.25">
      <c r="A154" s="6">
        <v>792191</v>
      </c>
      <c r="B154" s="6" t="str">
        <f>VLOOKUP(A154,SAP!$1:$1048576,2,FALSE)</f>
        <v>Zasuwn. KSR 1890/1000 2V D40 PIN</v>
      </c>
      <c r="C154" s="6">
        <f>C149</f>
        <v>2147</v>
      </c>
      <c r="D154" s="6">
        <v>1801</v>
      </c>
      <c r="E154" s="6">
        <v>2400</v>
      </c>
      <c r="F154" s="16">
        <f t="shared" si="12"/>
        <v>1</v>
      </c>
      <c r="G154" s="6">
        <f t="shared" si="11"/>
        <v>792191</v>
      </c>
    </row>
    <row r="155" spans="1:7" s="6" customFormat="1" hidden="1" x14ac:dyDescent="0.25">
      <c r="A155" s="6">
        <v>792193</v>
      </c>
      <c r="B155" s="6" t="str">
        <f>VLOOKUP(A155,SAP!$1:$1048576,2,FALSE)</f>
        <v>Zasuwn. KSR 2290/1000 2V D40 PIN</v>
      </c>
      <c r="C155" s="6">
        <f>C149</f>
        <v>2147</v>
      </c>
      <c r="D155" s="6">
        <v>2401</v>
      </c>
      <c r="E155" s="6">
        <v>2500</v>
      </c>
      <c r="F155" s="16">
        <f t="shared" si="12"/>
        <v>0</v>
      </c>
      <c r="G155" s="6">
        <f t="shared" si="11"/>
        <v>0</v>
      </c>
    </row>
    <row r="156" spans="1:7" s="6" customFormat="1" hidden="1" x14ac:dyDescent="0.25">
      <c r="G156" s="11">
        <f>SUM(G149:G155)</f>
        <v>792191</v>
      </c>
    </row>
    <row r="157" spans="1:7" s="6" customFormat="1" hidden="1" x14ac:dyDescent="0.25"/>
    <row r="158" spans="1:7" s="6" customFormat="1" hidden="1" x14ac:dyDescent="0.25">
      <c r="A158" s="6">
        <v>795603</v>
      </c>
      <c r="B158" s="6" t="str">
        <f>VLOOKUP(A158,SAP!$1:$1048576,2,FALSE)</f>
        <v>Zasuwn. KSR +PZ 1890/1000 2V D40 PIN</v>
      </c>
      <c r="C158" s="6">
        <f>C87</f>
        <v>2147</v>
      </c>
      <c r="D158" s="6">
        <v>1801</v>
      </c>
      <c r="E158" s="6">
        <v>2000</v>
      </c>
      <c r="F158" s="16">
        <f>IF(C158&lt;D158,0,IF(C158&lt;=E158,1,IF(C158&gt;E158,0)))</f>
        <v>0</v>
      </c>
      <c r="G158" s="6">
        <f>A158*F158</f>
        <v>0</v>
      </c>
    </row>
    <row r="159" spans="1:7" s="6" customFormat="1" hidden="1" x14ac:dyDescent="0.25">
      <c r="A159" s="6">
        <v>795603</v>
      </c>
      <c r="B159" s="6" t="str">
        <f>VLOOKUP(A159,SAP!$1:$1048576,2,FALSE)</f>
        <v>Zasuwn. KSR +PZ 1890/1000 2V D40 PIN</v>
      </c>
      <c r="C159" s="6">
        <f>C158</f>
        <v>2147</v>
      </c>
      <c r="D159" s="6">
        <v>2001</v>
      </c>
      <c r="E159" s="6">
        <v>2200</v>
      </c>
      <c r="F159" s="16">
        <f>IF(C159&lt;D159,0,IF(C159&lt;=E159,1,IF(C159&gt;E159,0)))</f>
        <v>1</v>
      </c>
      <c r="G159" s="6">
        <f>A159*F159</f>
        <v>795603</v>
      </c>
    </row>
    <row r="160" spans="1:7" s="6" customFormat="1" hidden="1" x14ac:dyDescent="0.25">
      <c r="A160" s="6">
        <v>795603</v>
      </c>
      <c r="B160" s="6" t="str">
        <f>VLOOKUP(A160,SAP!$1:$1048576,2,FALSE)</f>
        <v>Zasuwn. KSR +PZ 1890/1000 2V D40 PIN</v>
      </c>
      <c r="C160" s="6">
        <f>C158</f>
        <v>2147</v>
      </c>
      <c r="D160" s="6">
        <v>2201</v>
      </c>
      <c r="E160" s="6">
        <v>2400</v>
      </c>
      <c r="F160" s="16">
        <f>IF(C160&lt;D160,0,IF(C160&lt;=E160,1,IF(C160&gt;E160,0)))</f>
        <v>0</v>
      </c>
      <c r="G160" s="6">
        <f>A160*F160</f>
        <v>0</v>
      </c>
    </row>
    <row r="161" spans="1:14" s="6" customFormat="1" hidden="1" x14ac:dyDescent="0.25">
      <c r="A161" s="6">
        <v>795604</v>
      </c>
      <c r="B161" s="6" t="str">
        <f>VLOOKUP(A161,SAP!$1:$1048576,2,FALSE)</f>
        <v>Zasuwn. KSR +PZ 2290/1000 2V D40 PIN</v>
      </c>
      <c r="C161" s="6">
        <f>C158</f>
        <v>2147</v>
      </c>
      <c r="D161" s="6">
        <v>2401</v>
      </c>
      <c r="E161" s="6">
        <v>2500</v>
      </c>
      <c r="F161" s="16">
        <f>IF(C161&lt;D161,0,IF(C161&lt;=E161,1,IF(C161&gt;E161,0)))</f>
        <v>0</v>
      </c>
      <c r="G161" s="6">
        <f>A161*F161</f>
        <v>0</v>
      </c>
    </row>
    <row r="162" spans="1:14" s="6" customFormat="1" hidden="1" x14ac:dyDescent="0.25">
      <c r="G162" s="11">
        <f>SUM(G158:G161)</f>
        <v>795603</v>
      </c>
    </row>
    <row r="163" spans="1:14" s="6" customFormat="1" hidden="1" x14ac:dyDescent="0.25">
      <c r="C163" s="66">
        <f>IF(C178=1,G156,IF(C178=2,G162))</f>
        <v>792191</v>
      </c>
    </row>
    <row r="164" spans="1:14" s="6" customFormat="1" hidden="1" x14ac:dyDescent="0.25">
      <c r="C164" s="14"/>
    </row>
    <row r="165" spans="1:14" s="6" customFormat="1" hidden="1" x14ac:dyDescent="0.25"/>
    <row r="166" spans="1:14" s="6" customFormat="1" hidden="1" x14ac:dyDescent="0.25"/>
    <row r="167" spans="1:14" s="6" customFormat="1" hidden="1" x14ac:dyDescent="0.25">
      <c r="C167" s="6" t="s">
        <v>3</v>
      </c>
      <c r="D167" s="6" t="s">
        <v>1</v>
      </c>
      <c r="E167" s="6" t="s">
        <v>2</v>
      </c>
      <c r="F167" s="16" t="s">
        <v>4</v>
      </c>
      <c r="G167" s="6" t="s">
        <v>5</v>
      </c>
      <c r="H167" s="6" t="s">
        <v>6</v>
      </c>
      <c r="L167" s="6" t="s">
        <v>271</v>
      </c>
      <c r="N167" s="6" t="s">
        <v>272</v>
      </c>
    </row>
    <row r="168" spans="1:14" s="6" customFormat="1" hidden="1" x14ac:dyDescent="0.25">
      <c r="A168" s="6">
        <f>SAP!A181</f>
        <v>785921</v>
      </c>
      <c r="B168" s="6" t="str">
        <f>SAP!B181</f>
        <v>Zasuwn. KSR 690/263 D50 PIN</v>
      </c>
      <c r="C168" s="6">
        <f>C87</f>
        <v>2147</v>
      </c>
      <c r="D168" s="6">
        <v>590</v>
      </c>
      <c r="E168" s="6">
        <v>800</v>
      </c>
      <c r="F168" s="16">
        <f>IF(C168&lt;D168,0,IF(C168&lt;=E168,1,IF(C168&gt;E168,0)))</f>
        <v>0</v>
      </c>
      <c r="G168" s="6">
        <f t="shared" ref="G168:G174" si="13">A168*F168</f>
        <v>0</v>
      </c>
      <c r="H168" s="6">
        <v>0</v>
      </c>
      <c r="I168" s="6">
        <f t="shared" ref="I168:I174" si="14">F168*H168</f>
        <v>0</v>
      </c>
      <c r="L168" s="6">
        <v>25</v>
      </c>
      <c r="N168" s="6">
        <f>IF(L173=1,C132,IF(L173=2,C147,IF(L173=3,C194,IF(L173=4,C163,IF(L173=5,C176)))))</f>
        <v>785927</v>
      </c>
    </row>
    <row r="169" spans="1:14" s="6" customFormat="1" hidden="1" x14ac:dyDescent="0.25">
      <c r="A169" s="6">
        <f>SAP!A182</f>
        <v>785922</v>
      </c>
      <c r="B169" s="6" t="str">
        <f>SAP!B182</f>
        <v>Zasuwn. KSR 890/413 D50 PIN</v>
      </c>
      <c r="C169" s="6">
        <f>C168</f>
        <v>2147</v>
      </c>
      <c r="D169" s="6">
        <v>801</v>
      </c>
      <c r="E169" s="6">
        <v>1000</v>
      </c>
      <c r="F169" s="16">
        <f t="shared" ref="F169:F174" si="15">IF(C169&lt;D169,0,IF(C169&lt;=E169,1,IF(C169&gt;E169,0)))</f>
        <v>0</v>
      </c>
      <c r="G169" s="6">
        <f t="shared" si="13"/>
        <v>0</v>
      </c>
      <c r="H169" s="6">
        <v>0</v>
      </c>
      <c r="I169" s="6">
        <f t="shared" si="14"/>
        <v>0</v>
      </c>
      <c r="L169" s="6">
        <v>30</v>
      </c>
    </row>
    <row r="170" spans="1:14" s="6" customFormat="1" hidden="1" x14ac:dyDescent="0.25">
      <c r="A170" s="6">
        <f>SAP!A183</f>
        <v>785923</v>
      </c>
      <c r="B170" s="6" t="str">
        <f>SAP!B183</f>
        <v>Zasuwn. KSR 1090/513 1V D50 PIN</v>
      </c>
      <c r="C170" s="6">
        <f>C168</f>
        <v>2147</v>
      </c>
      <c r="D170" s="6">
        <v>1001</v>
      </c>
      <c r="E170" s="6">
        <v>1200</v>
      </c>
      <c r="F170" s="16">
        <f t="shared" si="15"/>
        <v>0</v>
      </c>
      <c r="G170" s="6">
        <f t="shared" si="13"/>
        <v>0</v>
      </c>
      <c r="H170" s="6">
        <v>1</v>
      </c>
      <c r="I170" s="6">
        <f t="shared" si="14"/>
        <v>0</v>
      </c>
      <c r="L170" s="6">
        <v>35</v>
      </c>
    </row>
    <row r="171" spans="1:14" s="6" customFormat="1" hidden="1" x14ac:dyDescent="0.25">
      <c r="A171" s="6">
        <f>SAP!A184</f>
        <v>785924</v>
      </c>
      <c r="B171" s="6" t="str">
        <f>SAP!B184</f>
        <v>Zasuwn. KSR 1290/563 1V D50 PIN</v>
      </c>
      <c r="C171" s="6">
        <f>C168</f>
        <v>2147</v>
      </c>
      <c r="D171" s="6">
        <v>1201</v>
      </c>
      <c r="E171" s="6">
        <v>1600</v>
      </c>
      <c r="F171" s="16">
        <f t="shared" si="15"/>
        <v>0</v>
      </c>
      <c r="G171" s="6">
        <f t="shared" si="13"/>
        <v>0</v>
      </c>
      <c r="H171" s="6">
        <v>1</v>
      </c>
      <c r="I171" s="6">
        <f t="shared" si="14"/>
        <v>0</v>
      </c>
      <c r="L171" s="6">
        <v>40</v>
      </c>
    </row>
    <row r="172" spans="1:14" s="6" customFormat="1" hidden="1" x14ac:dyDescent="0.25">
      <c r="A172" s="6">
        <f>SAP!A185</f>
        <v>785926</v>
      </c>
      <c r="B172" s="6" t="str">
        <f>SAP!B185</f>
        <v>Zasuwn. KSR 1690/563 1V D50 PIN</v>
      </c>
      <c r="C172" s="6">
        <f>C168</f>
        <v>2147</v>
      </c>
      <c r="D172" s="6">
        <v>1601</v>
      </c>
      <c r="E172" s="6">
        <v>1800</v>
      </c>
      <c r="F172" s="16">
        <f t="shared" si="15"/>
        <v>0</v>
      </c>
      <c r="G172" s="6">
        <f t="shared" si="13"/>
        <v>0</v>
      </c>
      <c r="H172" s="6">
        <v>1</v>
      </c>
      <c r="I172" s="6">
        <f t="shared" si="14"/>
        <v>0</v>
      </c>
      <c r="L172" s="6">
        <v>50</v>
      </c>
    </row>
    <row r="173" spans="1:14" s="6" customFormat="1" hidden="1" x14ac:dyDescent="0.25">
      <c r="A173" s="6">
        <f>SAP!A186</f>
        <v>785927</v>
      </c>
      <c r="B173" s="6" t="str">
        <f>SAP!B186</f>
        <v>Zasuwn. KSR 1890/1000 2V D50 PIN</v>
      </c>
      <c r="C173" s="6">
        <f>C168</f>
        <v>2147</v>
      </c>
      <c r="D173" s="6">
        <v>1801</v>
      </c>
      <c r="E173" s="6">
        <v>2400</v>
      </c>
      <c r="F173" s="16">
        <f t="shared" si="15"/>
        <v>1</v>
      </c>
      <c r="G173" s="6">
        <f t="shared" si="13"/>
        <v>785927</v>
      </c>
      <c r="H173" s="6">
        <v>2</v>
      </c>
      <c r="I173" s="6">
        <f t="shared" si="14"/>
        <v>2</v>
      </c>
      <c r="L173" s="11">
        <v>5</v>
      </c>
    </row>
    <row r="174" spans="1:14" s="6" customFormat="1" hidden="1" x14ac:dyDescent="0.25">
      <c r="A174" s="6">
        <f>SAP!A187</f>
        <v>785929</v>
      </c>
      <c r="B174" s="6" t="str">
        <f>SAP!B187</f>
        <v>Zasuwn. KSR 2290/1000 2V D50 PIN</v>
      </c>
      <c r="C174" s="6">
        <f>C168</f>
        <v>2147</v>
      </c>
      <c r="D174" s="6">
        <v>2401</v>
      </c>
      <c r="E174" s="6">
        <v>2500</v>
      </c>
      <c r="F174" s="16">
        <f t="shared" si="15"/>
        <v>0</v>
      </c>
      <c r="G174" s="6">
        <f t="shared" si="13"/>
        <v>0</v>
      </c>
      <c r="H174" s="6">
        <v>2</v>
      </c>
      <c r="I174" s="6">
        <f t="shared" si="14"/>
        <v>0</v>
      </c>
    </row>
    <row r="175" spans="1:14" s="6" customFormat="1" hidden="1" x14ac:dyDescent="0.25">
      <c r="A175" s="6" t="s">
        <v>28</v>
      </c>
      <c r="F175" s="17">
        <f>SUM(F168:F174)</f>
        <v>1</v>
      </c>
      <c r="G175" s="11">
        <f>SUM(G168:G174)</f>
        <v>785927</v>
      </c>
      <c r="I175" s="18">
        <f>SUM(I168:I174)</f>
        <v>2</v>
      </c>
    </row>
    <row r="176" spans="1:14" s="6" customFormat="1" hidden="1" x14ac:dyDescent="0.25">
      <c r="B176" s="5" t="str">
        <f>SAP!A108</f>
        <v>Zasuwnica  bez wkładki bębenkowej</v>
      </c>
      <c r="C176" s="11">
        <f>IF(C178=1,G175,IF(C178=2,G184))</f>
        <v>785927</v>
      </c>
      <c r="D176" s="6" t="s">
        <v>52</v>
      </c>
      <c r="E176" s="11">
        <f>IF(C178=1,I175+2,IF(C178=2,I184+2))-C103</f>
        <v>3</v>
      </c>
    </row>
    <row r="177" spans="1:13" s="6" customFormat="1" hidden="1" x14ac:dyDescent="0.25">
      <c r="B177" s="5" t="str">
        <f>SAP!A109</f>
        <v>Zasuwnica z dodatkową wkładką bębenkową</v>
      </c>
      <c r="C177" s="5"/>
    </row>
    <row r="178" spans="1:13" s="6" customFormat="1" hidden="1" x14ac:dyDescent="0.25">
      <c r="C178" s="11">
        <v>1</v>
      </c>
      <c r="J178" s="6" t="b">
        <f>IF(C178=2,1)</f>
        <v>0</v>
      </c>
      <c r="K178" s="6">
        <f>IF(C87&lt;=1800,1,IF(C87&gt;=1801,0))</f>
        <v>0</v>
      </c>
      <c r="L178" s="6">
        <f>K178*J178</f>
        <v>0</v>
      </c>
      <c r="M178" s="6" t="str">
        <f>IF(L178=0,"",IF(L178=1,"Uwaga! Zasuwnica z dodatkową wkładką tylko dla FFH powyżej 1801mm"))</f>
        <v/>
      </c>
    </row>
    <row r="179" spans="1:13" s="6" customFormat="1" hidden="1" x14ac:dyDescent="0.25">
      <c r="C179" s="6" t="s">
        <v>3</v>
      </c>
      <c r="D179" s="6" t="s">
        <v>1</v>
      </c>
      <c r="E179" s="6" t="s">
        <v>2</v>
      </c>
      <c r="F179" s="16" t="s">
        <v>4</v>
      </c>
      <c r="G179" s="6" t="s">
        <v>5</v>
      </c>
      <c r="H179" s="6" t="s">
        <v>6</v>
      </c>
    </row>
    <row r="180" spans="1:13" s="6" customFormat="1" hidden="1" x14ac:dyDescent="0.25">
      <c r="A180" s="6">
        <v>798218</v>
      </c>
      <c r="B180" s="6" t="str">
        <f>VLOOKUP(A180,SAP!1:1048576,2,FALSE)</f>
        <v>Zasuwn. KSR +PZ 1890/1000 2V D50 PIN</v>
      </c>
      <c r="C180" s="6">
        <f>C87</f>
        <v>2147</v>
      </c>
      <c r="D180" s="6">
        <v>1801</v>
      </c>
      <c r="E180" s="6">
        <v>2000</v>
      </c>
      <c r="F180" s="16">
        <f>IF(C180&lt;D180,0,IF(C180&lt;=E180,1,IF(C180&gt;E180,0)))</f>
        <v>0</v>
      </c>
      <c r="G180" s="6">
        <f>A180*F180</f>
        <v>0</v>
      </c>
      <c r="H180" s="6">
        <v>2</v>
      </c>
      <c r="I180" s="6">
        <f>F180*H180</f>
        <v>0</v>
      </c>
    </row>
    <row r="181" spans="1:13" s="6" customFormat="1" hidden="1" x14ac:dyDescent="0.25">
      <c r="A181" s="6">
        <v>798218</v>
      </c>
      <c r="B181" s="6" t="str">
        <f>VLOOKUP(A181,SAP!1:1048576,2,FALSE)</f>
        <v>Zasuwn. KSR +PZ 1890/1000 2V D50 PIN</v>
      </c>
      <c r="C181" s="6">
        <f>C180</f>
        <v>2147</v>
      </c>
      <c r="D181" s="6">
        <v>2001</v>
      </c>
      <c r="E181" s="6">
        <v>2200</v>
      </c>
      <c r="F181" s="16">
        <f>IF(C181&lt;D181,0,IF(C181&lt;=E181,1,IF(C181&gt;E181,0)))</f>
        <v>1</v>
      </c>
      <c r="G181" s="6">
        <f>A181*F181</f>
        <v>798218</v>
      </c>
      <c r="H181" s="6">
        <v>2</v>
      </c>
      <c r="I181" s="6">
        <f>F181*H181</f>
        <v>2</v>
      </c>
    </row>
    <row r="182" spans="1:13" s="6" customFormat="1" hidden="1" x14ac:dyDescent="0.25">
      <c r="A182" s="6">
        <v>798218</v>
      </c>
      <c r="B182" s="6" t="str">
        <f>VLOOKUP(A182,SAP!1:1048576,2,FALSE)</f>
        <v>Zasuwn. KSR +PZ 1890/1000 2V D50 PIN</v>
      </c>
      <c r="C182" s="6">
        <f>C180</f>
        <v>2147</v>
      </c>
      <c r="D182" s="6">
        <v>2201</v>
      </c>
      <c r="E182" s="6">
        <v>2400</v>
      </c>
      <c r="F182" s="16">
        <f>IF(C182&lt;D182,0,IF(C182&lt;=E182,1,IF(C182&gt;E182,0)))</f>
        <v>0</v>
      </c>
      <c r="G182" s="6">
        <f>A182*F182</f>
        <v>0</v>
      </c>
      <c r="H182" s="6">
        <v>2</v>
      </c>
      <c r="I182" s="6">
        <f>F182*H182</f>
        <v>0</v>
      </c>
    </row>
    <row r="183" spans="1:13" s="6" customFormat="1" hidden="1" x14ac:dyDescent="0.25">
      <c r="A183" s="6">
        <v>798219</v>
      </c>
      <c r="B183" s="6" t="str">
        <f>VLOOKUP(A183,SAP!1:1048576,2,FALSE)</f>
        <v>Zasuwn. KSR +PZ 2290/1000 2V D50 PIN</v>
      </c>
      <c r="C183" s="6">
        <f>C180</f>
        <v>2147</v>
      </c>
      <c r="D183" s="6">
        <v>2401</v>
      </c>
      <c r="E183" s="6">
        <v>2500</v>
      </c>
      <c r="F183" s="16">
        <f>IF(C183&lt;D183,0,IF(C183&lt;=E183,1,IF(C183&gt;E183,0)))</f>
        <v>0</v>
      </c>
      <c r="G183" s="6">
        <f>A183*F183</f>
        <v>0</v>
      </c>
      <c r="H183" s="6">
        <v>2</v>
      </c>
      <c r="I183" s="6">
        <f>F183*H183</f>
        <v>0</v>
      </c>
    </row>
    <row r="184" spans="1:13" s="6" customFormat="1" hidden="1" x14ac:dyDescent="0.25">
      <c r="A184" s="6" t="s">
        <v>27</v>
      </c>
      <c r="F184" s="17">
        <f>SUM(F180:F183)</f>
        <v>1</v>
      </c>
      <c r="G184" s="11">
        <f>SUM(G180:G183)</f>
        <v>798218</v>
      </c>
      <c r="I184" s="18">
        <f>SUM(I180:I183)</f>
        <v>2</v>
      </c>
    </row>
    <row r="185" spans="1:13" s="6" customFormat="1" hidden="1" x14ac:dyDescent="0.25">
      <c r="C185" s="6" t="s">
        <v>3</v>
      </c>
      <c r="D185" s="6" t="s">
        <v>1</v>
      </c>
      <c r="E185" s="6" t="s">
        <v>2</v>
      </c>
      <c r="F185" s="16" t="s">
        <v>4</v>
      </c>
      <c r="G185" s="6" t="s">
        <v>5</v>
      </c>
      <c r="H185" s="6" t="s">
        <v>6</v>
      </c>
    </row>
    <row r="186" spans="1:13" s="6" customFormat="1" hidden="1" x14ac:dyDescent="0.25">
      <c r="A186" s="6">
        <v>799045</v>
      </c>
      <c r="B186" s="6" t="s">
        <v>210</v>
      </c>
      <c r="C186" s="6">
        <f>C87</f>
        <v>2147</v>
      </c>
      <c r="D186" s="6">
        <v>590</v>
      </c>
      <c r="E186" s="6">
        <v>800</v>
      </c>
      <c r="F186" s="16">
        <f>IF(C186&lt;D186,0,IF(C186&lt;=E186,1,IF(C186&gt;E186,0)))</f>
        <v>0</v>
      </c>
      <c r="G186" s="6">
        <f t="shared" ref="G186:G192" si="16">A186*F186</f>
        <v>0</v>
      </c>
      <c r="H186" s="6">
        <v>0</v>
      </c>
      <c r="I186" s="6">
        <f t="shared" ref="I186:I192" si="17">F186*H186</f>
        <v>0</v>
      </c>
    </row>
    <row r="187" spans="1:13" s="6" customFormat="1" hidden="1" x14ac:dyDescent="0.25">
      <c r="A187" s="6">
        <v>798027</v>
      </c>
      <c r="B187" s="6" t="s">
        <v>211</v>
      </c>
      <c r="C187" s="6">
        <f>C186</f>
        <v>2147</v>
      </c>
      <c r="D187" s="6">
        <v>801</v>
      </c>
      <c r="E187" s="6">
        <v>1000</v>
      </c>
      <c r="F187" s="16">
        <f t="shared" ref="F187:F192" si="18">IF(C187&lt;D187,0,IF(C187&lt;=E187,1,IF(C187&gt;E187,0)))</f>
        <v>0</v>
      </c>
      <c r="G187" s="6">
        <f t="shared" si="16"/>
        <v>0</v>
      </c>
      <c r="H187" s="6">
        <v>0</v>
      </c>
      <c r="I187" s="6">
        <f t="shared" si="17"/>
        <v>0</v>
      </c>
    </row>
    <row r="188" spans="1:13" s="6" customFormat="1" hidden="1" x14ac:dyDescent="0.25">
      <c r="A188" s="6">
        <v>798028</v>
      </c>
      <c r="B188" s="6" t="s">
        <v>212</v>
      </c>
      <c r="C188" s="6">
        <f>C186</f>
        <v>2147</v>
      </c>
      <c r="D188" s="6">
        <v>1001</v>
      </c>
      <c r="E188" s="6">
        <v>1200</v>
      </c>
      <c r="F188" s="16">
        <f t="shared" si="18"/>
        <v>0</v>
      </c>
      <c r="G188" s="6">
        <f t="shared" si="16"/>
        <v>0</v>
      </c>
      <c r="H188" s="6">
        <v>1</v>
      </c>
      <c r="I188" s="6">
        <f t="shared" si="17"/>
        <v>0</v>
      </c>
    </row>
    <row r="189" spans="1:13" s="6" customFormat="1" hidden="1" x14ac:dyDescent="0.25">
      <c r="A189" s="6">
        <v>798030</v>
      </c>
      <c r="B189" s="6" t="s">
        <v>213</v>
      </c>
      <c r="C189" s="6">
        <f>C186</f>
        <v>2147</v>
      </c>
      <c r="D189" s="6">
        <v>1201</v>
      </c>
      <c r="E189" s="6">
        <v>1600</v>
      </c>
      <c r="F189" s="16">
        <f t="shared" si="18"/>
        <v>0</v>
      </c>
      <c r="G189" s="6">
        <f t="shared" si="16"/>
        <v>0</v>
      </c>
      <c r="H189" s="6">
        <v>1</v>
      </c>
      <c r="I189" s="6">
        <f t="shared" si="17"/>
        <v>0</v>
      </c>
    </row>
    <row r="190" spans="1:13" s="6" customFormat="1" hidden="1" x14ac:dyDescent="0.25">
      <c r="A190" s="6">
        <v>798031</v>
      </c>
      <c r="B190" s="6" t="s">
        <v>214</v>
      </c>
      <c r="C190" s="6">
        <f>C186</f>
        <v>2147</v>
      </c>
      <c r="D190" s="6">
        <v>1601</v>
      </c>
      <c r="E190" s="6">
        <v>1800</v>
      </c>
      <c r="F190" s="16">
        <f t="shared" si="18"/>
        <v>0</v>
      </c>
      <c r="G190" s="6">
        <f t="shared" si="16"/>
        <v>0</v>
      </c>
      <c r="H190" s="6">
        <v>1</v>
      </c>
      <c r="I190" s="6">
        <f t="shared" si="17"/>
        <v>0</v>
      </c>
    </row>
    <row r="191" spans="1:13" s="6" customFormat="1" hidden="1" x14ac:dyDescent="0.25">
      <c r="A191" s="6">
        <v>798032</v>
      </c>
      <c r="B191" s="6" t="s">
        <v>215</v>
      </c>
      <c r="C191" s="6">
        <f>C186</f>
        <v>2147</v>
      </c>
      <c r="D191" s="6">
        <v>1801</v>
      </c>
      <c r="E191" s="6">
        <v>2400</v>
      </c>
      <c r="F191" s="16">
        <f t="shared" si="18"/>
        <v>1</v>
      </c>
      <c r="G191" s="6">
        <f t="shared" si="16"/>
        <v>798032</v>
      </c>
      <c r="H191" s="6">
        <v>2</v>
      </c>
      <c r="I191" s="6">
        <f t="shared" si="17"/>
        <v>2</v>
      </c>
    </row>
    <row r="192" spans="1:13" s="6" customFormat="1" hidden="1" x14ac:dyDescent="0.25">
      <c r="A192" s="6">
        <v>798033</v>
      </c>
      <c r="B192" s="6" t="s">
        <v>216</v>
      </c>
      <c r="C192" s="6">
        <f>C186</f>
        <v>2147</v>
      </c>
      <c r="D192" s="6">
        <v>2401</v>
      </c>
      <c r="E192" s="6">
        <v>2500</v>
      </c>
      <c r="F192" s="16">
        <f t="shared" si="18"/>
        <v>0</v>
      </c>
      <c r="G192" s="6">
        <f t="shared" si="16"/>
        <v>0</v>
      </c>
      <c r="H192" s="6">
        <v>2</v>
      </c>
      <c r="I192" s="6">
        <f t="shared" si="17"/>
        <v>0</v>
      </c>
    </row>
    <row r="193" spans="1:9" s="6" customFormat="1" hidden="1" x14ac:dyDescent="0.25">
      <c r="F193" s="17">
        <f>SUM(F186:F192)</f>
        <v>1</v>
      </c>
      <c r="G193" s="11">
        <f>SUM(G186:G192)</f>
        <v>798032</v>
      </c>
      <c r="I193" s="18">
        <f>SUM(I186:I192)</f>
        <v>2</v>
      </c>
    </row>
    <row r="194" spans="1:9" s="6" customFormat="1" hidden="1" x14ac:dyDescent="0.25">
      <c r="C194" s="11">
        <f>IF(C178=1,G193,IF(C178=2,G202))</f>
        <v>798032</v>
      </c>
      <c r="D194" s="6" t="s">
        <v>52</v>
      </c>
      <c r="E194" s="11"/>
    </row>
    <row r="195" spans="1:9" s="6" customFormat="1" hidden="1" x14ac:dyDescent="0.25">
      <c r="C195" s="5"/>
    </row>
    <row r="196" spans="1:9" s="6" customFormat="1" hidden="1" x14ac:dyDescent="0.25">
      <c r="C196" s="11"/>
    </row>
    <row r="197" spans="1:9" s="6" customFormat="1" hidden="1" x14ac:dyDescent="0.25">
      <c r="C197" s="6" t="s">
        <v>3</v>
      </c>
      <c r="D197" s="6" t="s">
        <v>1</v>
      </c>
      <c r="E197" s="6" t="s">
        <v>2</v>
      </c>
      <c r="F197" s="16" t="s">
        <v>4</v>
      </c>
      <c r="G197" s="6" t="s">
        <v>5</v>
      </c>
      <c r="H197" s="6" t="s">
        <v>6</v>
      </c>
    </row>
    <row r="198" spans="1:9" s="6" customFormat="1" hidden="1" x14ac:dyDescent="0.25">
      <c r="A198" s="6">
        <v>798034</v>
      </c>
      <c r="B198" s="6" t="s">
        <v>217</v>
      </c>
      <c r="C198" s="6">
        <f>C87</f>
        <v>2147</v>
      </c>
      <c r="D198" s="6">
        <v>1801</v>
      </c>
      <c r="E198" s="6">
        <v>2000</v>
      </c>
      <c r="F198" s="16">
        <f>IF(C198&lt;D198,0,IF(C198&lt;=E198,1,IF(C198&gt;E198,0)))</f>
        <v>0</v>
      </c>
      <c r="G198" s="6">
        <f>A198*F198</f>
        <v>0</v>
      </c>
      <c r="H198" s="6">
        <v>2</v>
      </c>
      <c r="I198" s="6">
        <f>F198*H198</f>
        <v>0</v>
      </c>
    </row>
    <row r="199" spans="1:9" s="6" customFormat="1" hidden="1" x14ac:dyDescent="0.25">
      <c r="A199" s="6">
        <v>798034</v>
      </c>
      <c r="B199" s="6" t="s">
        <v>217</v>
      </c>
      <c r="C199" s="6">
        <f>C198</f>
        <v>2147</v>
      </c>
      <c r="D199" s="6">
        <v>2001</v>
      </c>
      <c r="E199" s="6">
        <v>2200</v>
      </c>
      <c r="F199" s="16">
        <f>IF(C199&lt;D199,0,IF(C199&lt;=E199,1,IF(C199&gt;E199,0)))</f>
        <v>1</v>
      </c>
      <c r="G199" s="6">
        <f>A201*F199</f>
        <v>798055</v>
      </c>
      <c r="H199" s="6">
        <v>2</v>
      </c>
      <c r="I199" s="6">
        <f>F199*H199</f>
        <v>2</v>
      </c>
    </row>
    <row r="200" spans="1:9" s="6" customFormat="1" hidden="1" x14ac:dyDescent="0.25">
      <c r="A200" s="6">
        <v>798034</v>
      </c>
      <c r="B200" s="6" t="s">
        <v>217</v>
      </c>
      <c r="C200" s="6">
        <f>C198</f>
        <v>2147</v>
      </c>
      <c r="D200" s="6">
        <v>2201</v>
      </c>
      <c r="E200" s="6">
        <v>2400</v>
      </c>
      <c r="F200" s="16">
        <f>IF(C200&lt;D200,0,IF(C200&lt;=E200,1,IF(C200&gt;E200,0)))</f>
        <v>0</v>
      </c>
      <c r="G200" s="6">
        <f>A200*F200</f>
        <v>0</v>
      </c>
      <c r="H200" s="6">
        <v>2</v>
      </c>
      <c r="I200" s="6">
        <f>F200*H200</f>
        <v>0</v>
      </c>
    </row>
    <row r="201" spans="1:9" s="6" customFormat="1" hidden="1" x14ac:dyDescent="0.25">
      <c r="A201" s="6">
        <v>798055</v>
      </c>
      <c r="B201" s="6" t="s">
        <v>218</v>
      </c>
      <c r="C201" s="6">
        <f>C198</f>
        <v>2147</v>
      </c>
      <c r="D201" s="6">
        <v>2401</v>
      </c>
      <c r="E201" s="6">
        <v>2500</v>
      </c>
      <c r="F201" s="16">
        <f t="shared" ref="F201" si="19">IF(C201&lt;D201,0,IF(C201&gt;=E201,1,IF(C201&gt;E201,0)))</f>
        <v>0</v>
      </c>
      <c r="G201" s="6">
        <f>A201*F201</f>
        <v>0</v>
      </c>
      <c r="H201" s="6">
        <v>2</v>
      </c>
      <c r="I201" s="6">
        <f>F201*H201</f>
        <v>0</v>
      </c>
    </row>
    <row r="202" spans="1:9" s="6" customFormat="1" hidden="1" x14ac:dyDescent="0.25">
      <c r="F202" s="17">
        <f>SUM(F198:F201)</f>
        <v>1</v>
      </c>
      <c r="G202" s="11">
        <f>SUM(G198:G201)</f>
        <v>798055</v>
      </c>
      <c r="I202" s="18">
        <f>SUM(I198:I201)</f>
        <v>2</v>
      </c>
    </row>
    <row r="203" spans="1:9" s="6" customFormat="1" hidden="1" x14ac:dyDescent="0.25">
      <c r="I203" s="19"/>
    </row>
    <row r="204" spans="1:9" s="6" customFormat="1" hidden="1" x14ac:dyDescent="0.25">
      <c r="I204" s="19"/>
    </row>
    <row r="205" spans="1:9" s="6" customFormat="1" hidden="1" x14ac:dyDescent="0.25">
      <c r="I205" s="19"/>
    </row>
    <row r="206" spans="1:9" s="6" customFormat="1" hidden="1" x14ac:dyDescent="0.25">
      <c r="I206" s="19"/>
    </row>
    <row r="207" spans="1:9" s="6" customFormat="1" hidden="1" x14ac:dyDescent="0.25">
      <c r="I207" s="19"/>
    </row>
    <row r="208" spans="1:9" s="6" customFormat="1" hidden="1" x14ac:dyDescent="0.25">
      <c r="C208" s="6" t="s">
        <v>3</v>
      </c>
      <c r="D208" s="6" t="s">
        <v>1</v>
      </c>
      <c r="E208" s="6" t="s">
        <v>2</v>
      </c>
      <c r="F208" s="16" t="s">
        <v>4</v>
      </c>
      <c r="G208" s="6" t="s">
        <v>5</v>
      </c>
      <c r="I208" s="19"/>
    </row>
    <row r="209" spans="1:21" s="6" customFormat="1" hidden="1" x14ac:dyDescent="0.25">
      <c r="A209" s="6">
        <v>308267</v>
      </c>
      <c r="B209" s="6" t="str">
        <f>VLOOKUP(A209,SAP!1:1048576,2,FALSE)</f>
        <v>Zamkn. środ. 200 łącz NTi</v>
      </c>
      <c r="C209" s="6">
        <f>C87</f>
        <v>2147</v>
      </c>
      <c r="D209" s="6">
        <v>1401</v>
      </c>
      <c r="E209" s="6">
        <v>1600</v>
      </c>
      <c r="F209" s="16">
        <f>IF(C209&lt;D209,0,IF(C209&lt;=E209,1,IF(C209&gt;E209,0)))</f>
        <v>0</v>
      </c>
      <c r="G209" s="6">
        <f>A209*F209</f>
        <v>0</v>
      </c>
      <c r="I209" s="19"/>
    </row>
    <row r="210" spans="1:21" s="6" customFormat="1" hidden="1" x14ac:dyDescent="0.25">
      <c r="A210" s="6">
        <v>308267</v>
      </c>
      <c r="B210" s="6" t="str">
        <f>VLOOKUP(A210,'Schemat A'!1:1048576,2,FALSE)</f>
        <v>Zamkn. środ. 200 łącz NTi</v>
      </c>
      <c r="C210" s="6">
        <f>C87</f>
        <v>2147</v>
      </c>
      <c r="D210" s="6">
        <v>2001</v>
      </c>
      <c r="E210" s="6">
        <v>2200</v>
      </c>
      <c r="F210" s="16">
        <f>IF(C210&lt;D210,0,IF(C210&lt;=E210,1,IF(C210&gt;E210,0)))</f>
        <v>1</v>
      </c>
      <c r="G210" s="6">
        <f t="shared" ref="G210:G212" si="20">A210*F210</f>
        <v>308267</v>
      </c>
      <c r="I210" s="19"/>
    </row>
    <row r="211" spans="1:21" s="6" customFormat="1" hidden="1" x14ac:dyDescent="0.25">
      <c r="A211" s="6">
        <v>297858</v>
      </c>
      <c r="B211" s="6" t="str">
        <f>VLOOKUP(A211,SAP!1:1048576,2,FALSE)</f>
        <v>Przedłużka zasuwn. NT MV400 bez zaczepu</v>
      </c>
      <c r="C211" s="6">
        <f>C87</f>
        <v>2147</v>
      </c>
      <c r="D211" s="6">
        <v>2201</v>
      </c>
      <c r="E211" s="6">
        <v>2400</v>
      </c>
      <c r="F211" s="16">
        <f>IF(C211&lt;D211,0,IF(C211&lt;=E211,1,IF(C211&gt;E211,0)))</f>
        <v>0</v>
      </c>
      <c r="G211" s="6">
        <f t="shared" si="20"/>
        <v>0</v>
      </c>
      <c r="I211" s="19"/>
    </row>
    <row r="212" spans="1:21" s="6" customFormat="1" hidden="1" x14ac:dyDescent="0.25">
      <c r="A212" s="6">
        <v>308267</v>
      </c>
      <c r="B212" s="6" t="str">
        <f>VLOOKUP(A212,SAP!1:1048576,2,FALSE)</f>
        <v>Zamkn. środ. 200 łącz NTi</v>
      </c>
      <c r="C212" s="6">
        <f>C87</f>
        <v>2147</v>
      </c>
      <c r="D212" s="6">
        <v>2401</v>
      </c>
      <c r="E212" s="6">
        <v>2500</v>
      </c>
      <c r="F212" s="16">
        <f>IF(C212&lt;D212,0,IF(C212&lt;=E212,1,IF(C212&gt;E212,0)))</f>
        <v>0</v>
      </c>
      <c r="G212" s="6">
        <f t="shared" si="20"/>
        <v>0</v>
      </c>
      <c r="I212" s="19"/>
    </row>
    <row r="213" spans="1:21" s="6" customFormat="1" hidden="1" x14ac:dyDescent="0.25">
      <c r="F213" s="17">
        <f>SUM(F209:F212)</f>
        <v>1</v>
      </c>
      <c r="G213" s="11">
        <f>SUM(G209:G212)</f>
        <v>308267</v>
      </c>
      <c r="I213" s="19"/>
    </row>
    <row r="214" spans="1:21" s="6" customFormat="1" hidden="1" x14ac:dyDescent="0.25">
      <c r="I214" s="19"/>
    </row>
    <row r="215" spans="1:21" s="6" customFormat="1" hidden="1" x14ac:dyDescent="0.25">
      <c r="C215" s="6" t="s">
        <v>0</v>
      </c>
      <c r="D215" s="6" t="s">
        <v>1</v>
      </c>
      <c r="E215" s="6" t="s">
        <v>2</v>
      </c>
      <c r="F215" s="16" t="s">
        <v>4</v>
      </c>
      <c r="G215" s="6" t="s">
        <v>5</v>
      </c>
      <c r="H215" s="6" t="s">
        <v>6</v>
      </c>
    </row>
    <row r="216" spans="1:21" s="6" customFormat="1" hidden="1" x14ac:dyDescent="0.25">
      <c r="A216" s="6">
        <v>572665</v>
      </c>
      <c r="B216" s="6" t="str">
        <f>VLOOKUP(A216,SAP!1:1048576,2,FALSE)</f>
        <v>Łącznik M 344 1V NT</v>
      </c>
      <c r="C216" s="6">
        <f>D87</f>
        <v>810</v>
      </c>
      <c r="D216" s="6">
        <v>710</v>
      </c>
      <c r="E216" s="6">
        <v>760</v>
      </c>
      <c r="F216" s="16">
        <f>IF(C216&lt;D216,0,IF(C216&lt;=E216,1,IF(C216&gt;E216,0)))</f>
        <v>0</v>
      </c>
      <c r="G216" s="6">
        <f t="shared" ref="G216:G221" si="21">A216*F216</f>
        <v>0</v>
      </c>
      <c r="H216" s="6">
        <v>1</v>
      </c>
      <c r="I216" s="6">
        <f t="shared" ref="I216:I221" si="22">H216*F216</f>
        <v>0</v>
      </c>
    </row>
    <row r="217" spans="1:21" s="6" customFormat="1" hidden="1" x14ac:dyDescent="0.25">
      <c r="A217" s="6">
        <v>245729</v>
      </c>
      <c r="B217" s="6" t="str">
        <f>VLOOKUP(A217,SAP!1:1048576,2,FALSE)</f>
        <v>Zamkn.śr.okien łuk. NT 501-700</v>
      </c>
      <c r="C217" s="6">
        <f>C216</f>
        <v>810</v>
      </c>
      <c r="D217" s="6">
        <v>761</v>
      </c>
      <c r="E217" s="6">
        <v>860</v>
      </c>
      <c r="F217" s="16">
        <f t="shared" ref="F217:F221" si="23">IF(C217&lt;D217,0,IF(C217&lt;=E217,1,IF(C217&gt;E217,0)))</f>
        <v>1</v>
      </c>
      <c r="G217" s="6">
        <f t="shared" si="21"/>
        <v>245729</v>
      </c>
      <c r="H217" s="6">
        <v>0</v>
      </c>
      <c r="I217" s="6">
        <f t="shared" si="22"/>
        <v>0</v>
      </c>
    </row>
    <row r="218" spans="1:21" s="6" customFormat="1" hidden="1" x14ac:dyDescent="0.25">
      <c r="A218" s="6">
        <v>603442</v>
      </c>
      <c r="B218" s="6" t="str">
        <f>VLOOKUP(A218,SAP!1:1048576,2,FALSE)</f>
        <v>Zamk. środkowe góra 600-800 NT ALV</v>
      </c>
      <c r="C218" s="6">
        <f>C217</f>
        <v>810</v>
      </c>
      <c r="D218" s="6">
        <v>861</v>
      </c>
      <c r="E218" s="6">
        <v>1060</v>
      </c>
      <c r="F218" s="16">
        <f t="shared" si="23"/>
        <v>0</v>
      </c>
      <c r="G218" s="6">
        <f t="shared" si="21"/>
        <v>0</v>
      </c>
      <c r="H218" s="6">
        <v>0</v>
      </c>
      <c r="I218" s="6">
        <f t="shared" si="22"/>
        <v>0</v>
      </c>
    </row>
    <row r="219" spans="1:21" s="6" customFormat="1" hidden="1" x14ac:dyDescent="0.25">
      <c r="A219" s="6">
        <v>603444</v>
      </c>
      <c r="B219" s="6" t="str">
        <f>VLOOKUP(A219,SAP!1:1048576,2,FALSE)</f>
        <v>Zamk. środkowe góra 801-1000 NT ALV</v>
      </c>
      <c r="C219" s="6">
        <f t="shared" ref="C219:C221" si="24">C218</f>
        <v>810</v>
      </c>
      <c r="D219" s="6">
        <v>1061</v>
      </c>
      <c r="E219" s="6">
        <v>1260</v>
      </c>
      <c r="F219" s="16">
        <f t="shared" si="23"/>
        <v>0</v>
      </c>
      <c r="G219" s="6">
        <f t="shared" si="21"/>
        <v>0</v>
      </c>
      <c r="H219" s="6">
        <v>1</v>
      </c>
      <c r="I219" s="6">
        <f t="shared" si="22"/>
        <v>0</v>
      </c>
    </row>
    <row r="220" spans="1:21" s="6" customFormat="1" hidden="1" x14ac:dyDescent="0.25">
      <c r="A220" s="6">
        <v>603447</v>
      </c>
      <c r="B220" s="6" t="str">
        <f>VLOOKUP(A220,SAP!1:1048576,2,FALSE)</f>
        <v>Zamk. środkowe góra 1001-1200 NT ALV</v>
      </c>
      <c r="C220" s="6">
        <f t="shared" si="24"/>
        <v>810</v>
      </c>
      <c r="D220" s="6">
        <v>1261</v>
      </c>
      <c r="E220" s="6">
        <v>1460</v>
      </c>
      <c r="F220" s="16">
        <f t="shared" si="23"/>
        <v>0</v>
      </c>
      <c r="G220" s="6">
        <f t="shared" si="21"/>
        <v>0</v>
      </c>
      <c r="H220" s="6">
        <v>1</v>
      </c>
      <c r="I220" s="6">
        <f t="shared" si="22"/>
        <v>0</v>
      </c>
    </row>
    <row r="221" spans="1:21" s="6" customFormat="1" hidden="1" x14ac:dyDescent="0.25">
      <c r="A221" s="6">
        <v>603462</v>
      </c>
      <c r="B221" s="6" t="str">
        <f>VLOOKUP(A221,SAP!1:1048576,2,FALSE)</f>
        <v>Zamk. środkowe góra 1201-1400 NT ALV</v>
      </c>
      <c r="C221" s="6">
        <f t="shared" si="24"/>
        <v>810</v>
      </c>
      <c r="D221" s="6">
        <v>1461</v>
      </c>
      <c r="E221" s="6">
        <v>1500</v>
      </c>
      <c r="F221" s="16">
        <f t="shared" si="23"/>
        <v>0</v>
      </c>
      <c r="G221" s="6">
        <f t="shared" si="21"/>
        <v>0</v>
      </c>
      <c r="H221" s="6">
        <v>1</v>
      </c>
      <c r="I221" s="6">
        <f t="shared" si="22"/>
        <v>0</v>
      </c>
    </row>
    <row r="222" spans="1:21" s="6" customFormat="1" hidden="1" x14ac:dyDescent="0.25">
      <c r="A222" s="6" t="s">
        <v>27</v>
      </c>
      <c r="F222" s="17">
        <f>SUM(F216:F221)</f>
        <v>1</v>
      </c>
      <c r="G222" s="20">
        <f>SUM(G216:G221)</f>
        <v>245729</v>
      </c>
      <c r="I222" s="21">
        <f>SUM(I216:I221)</f>
        <v>0</v>
      </c>
    </row>
    <row r="223" spans="1:21" s="6" customFormat="1" hidden="1" x14ac:dyDescent="0.25"/>
    <row r="224" spans="1:21" s="6" customFormat="1" hidden="1" x14ac:dyDescent="0.25">
      <c r="A224" s="18"/>
      <c r="B224" s="18"/>
      <c r="C224" s="18" t="s">
        <v>3</v>
      </c>
      <c r="D224" s="18" t="s">
        <v>1</v>
      </c>
      <c r="E224" s="18" t="s">
        <v>2</v>
      </c>
      <c r="F224" s="22" t="s">
        <v>4</v>
      </c>
      <c r="G224" s="18" t="s">
        <v>5</v>
      </c>
      <c r="H224" s="18" t="s">
        <v>6</v>
      </c>
      <c r="I224" s="18"/>
      <c r="J224" s="18" t="s">
        <v>1</v>
      </c>
      <c r="K224" s="18" t="s">
        <v>2</v>
      </c>
      <c r="L224" s="22" t="s">
        <v>4</v>
      </c>
      <c r="M224" s="18" t="s">
        <v>5</v>
      </c>
      <c r="N224" s="18" t="s">
        <v>6</v>
      </c>
      <c r="O224" s="18"/>
      <c r="P224" s="18" t="s">
        <v>1</v>
      </c>
      <c r="Q224" s="18" t="s">
        <v>2</v>
      </c>
      <c r="R224" s="22" t="s">
        <v>4</v>
      </c>
      <c r="S224" s="18" t="s">
        <v>5</v>
      </c>
      <c r="T224" s="18" t="s">
        <v>6</v>
      </c>
      <c r="U224" s="18"/>
    </row>
    <row r="225" spans="1:21" s="6" customFormat="1" hidden="1" x14ac:dyDescent="0.25">
      <c r="A225" s="18">
        <v>255281</v>
      </c>
      <c r="B225" s="18" t="str">
        <f>VLOOKUP(A225,SAP!1:1048576,2,FALSE)</f>
        <v>Zamkn. środkowe 1E NT MV600</v>
      </c>
      <c r="C225" s="18">
        <f>C87</f>
        <v>2147</v>
      </c>
      <c r="D225" s="18">
        <v>1201</v>
      </c>
      <c r="E225" s="18">
        <v>2500</v>
      </c>
      <c r="F225" s="22">
        <f>IF(C225&lt;D225,0,IF(C225&lt;=E225,1,IF(C225&gt;E225,0,IF(C225&lt;=2500,2))))</f>
        <v>1</v>
      </c>
      <c r="G225" s="18">
        <f>A225*F225</f>
        <v>255281</v>
      </c>
      <c r="H225" s="18">
        <v>1</v>
      </c>
      <c r="I225" s="18">
        <f>F225*H225</f>
        <v>1</v>
      </c>
      <c r="J225" s="18"/>
      <c r="K225" s="18"/>
      <c r="L225" s="22"/>
      <c r="M225" s="18"/>
      <c r="N225" s="18"/>
      <c r="O225" s="18"/>
      <c r="P225" s="18"/>
      <c r="Q225" s="18"/>
      <c r="R225" s="22"/>
      <c r="S225" s="18"/>
      <c r="T225" s="18"/>
      <c r="U225" s="18"/>
    </row>
    <row r="226" spans="1:21" s="6" customFormat="1" hidden="1" x14ac:dyDescent="0.25">
      <c r="A226" s="18">
        <v>308267</v>
      </c>
      <c r="B226" s="18" t="str">
        <f>VLOOKUP(A226,SAP!1:1048576,2,FALSE)</f>
        <v>Zamkn. środ. 200 łącz NTi</v>
      </c>
      <c r="C226" s="18">
        <f>C225</f>
        <v>2147</v>
      </c>
      <c r="D226" s="18">
        <v>1801</v>
      </c>
      <c r="E226" s="18">
        <v>2000</v>
      </c>
      <c r="F226" s="22"/>
      <c r="G226" s="18"/>
      <c r="H226" s="18">
        <v>0</v>
      </c>
      <c r="I226" s="18"/>
      <c r="J226" s="18">
        <v>1801</v>
      </c>
      <c r="K226" s="18">
        <v>2000</v>
      </c>
      <c r="L226" s="22">
        <f>IF(C225&lt;J226,0,IF(C225&lt;=K226,1,IF(C225&gt;K226,0)))</f>
        <v>0</v>
      </c>
      <c r="M226" s="18">
        <f>L226*A226</f>
        <v>0</v>
      </c>
      <c r="N226" s="18">
        <v>0</v>
      </c>
      <c r="O226" s="18">
        <v>0</v>
      </c>
      <c r="P226" s="18">
        <v>2401</v>
      </c>
      <c r="Q226" s="18">
        <v>2500</v>
      </c>
      <c r="R226" s="22">
        <f>IF(C226&lt;P226,0,IF(C226&lt;=Q226,2,IF(C226&gt;Q226,0)))</f>
        <v>0</v>
      </c>
      <c r="S226" s="18">
        <f>R226*A226/2</f>
        <v>0</v>
      </c>
      <c r="T226" s="18">
        <v>0</v>
      </c>
      <c r="U226" s="18">
        <v>0</v>
      </c>
    </row>
    <row r="227" spans="1:21" s="6" customFormat="1" hidden="1" x14ac:dyDescent="0.25">
      <c r="A227" s="18">
        <v>297858</v>
      </c>
      <c r="B227" s="18" t="str">
        <f>VLOOKUP(A227,SAP!1:1048576,2,FALSE)</f>
        <v>Przedłużka zasuwn. NT MV400 bez zaczepu</v>
      </c>
      <c r="C227" s="18">
        <f>C225</f>
        <v>2147</v>
      </c>
      <c r="D227" s="18">
        <v>1801</v>
      </c>
      <c r="E227" s="18">
        <v>2000</v>
      </c>
      <c r="F227" s="22"/>
      <c r="G227" s="18"/>
      <c r="H227" s="18">
        <v>0</v>
      </c>
      <c r="I227" s="18"/>
      <c r="J227" s="18">
        <v>2001</v>
      </c>
      <c r="K227" s="18">
        <v>2400</v>
      </c>
      <c r="L227" s="22">
        <f>IF(C227&lt;J227,0,IF(C227&lt;=K227,1,IF(C227&gt;K227,0)))</f>
        <v>1</v>
      </c>
      <c r="M227" s="18">
        <f>L227*A227</f>
        <v>297858</v>
      </c>
      <c r="N227" s="18">
        <v>0</v>
      </c>
      <c r="O227" s="18">
        <v>0</v>
      </c>
      <c r="P227" s="18"/>
      <c r="Q227" s="18"/>
      <c r="R227" s="22"/>
      <c r="S227" s="18"/>
      <c r="T227" s="18"/>
      <c r="U227" s="18"/>
    </row>
    <row r="228" spans="1:21" s="6" customFormat="1" hidden="1" x14ac:dyDescent="0.25">
      <c r="A228" s="18">
        <v>450821</v>
      </c>
      <c r="B228" s="18" t="str">
        <f>VLOOKUP(A228,SAP!1:1048576,2,FALSE)</f>
        <v>Zamkn. środ. 200/E łącz NT</v>
      </c>
      <c r="C228" s="18">
        <f>C225</f>
        <v>2147</v>
      </c>
      <c r="D228" s="18">
        <v>2001</v>
      </c>
      <c r="E228" s="18">
        <v>2200</v>
      </c>
      <c r="F228" s="22"/>
      <c r="G228" s="18"/>
      <c r="H228" s="18">
        <v>1</v>
      </c>
      <c r="I228" s="18"/>
      <c r="J228" s="18"/>
      <c r="K228" s="18"/>
      <c r="L228" s="22"/>
      <c r="M228" s="18"/>
      <c r="N228" s="18"/>
      <c r="O228" s="18"/>
      <c r="P228" s="18">
        <v>2201</v>
      </c>
      <c r="Q228" s="18">
        <v>2400</v>
      </c>
      <c r="R228" s="22">
        <f>IF(C228&lt;P228,0,IF(C228&lt;=Q228,1,IF(C228&gt;Q228,0)))</f>
        <v>0</v>
      </c>
      <c r="S228" s="18">
        <f>R228*A228</f>
        <v>0</v>
      </c>
      <c r="T228" s="18">
        <v>1</v>
      </c>
      <c r="U228" s="18">
        <f>T228*R228</f>
        <v>0</v>
      </c>
    </row>
    <row r="229" spans="1:21" s="6" customFormat="1" hidden="1" x14ac:dyDescent="0.25">
      <c r="A229" s="18">
        <v>255282</v>
      </c>
      <c r="B229" s="18" t="str">
        <f>VLOOKUP(A229,SAP!1:1048576,2,FALSE)</f>
        <v>Zamkn. środkowe 1E NT MV600 łączone</v>
      </c>
      <c r="C229" s="18">
        <f>C225</f>
        <v>2147</v>
      </c>
      <c r="D229" s="18">
        <v>2201</v>
      </c>
      <c r="E229" s="18">
        <v>2500</v>
      </c>
      <c r="F229" s="22"/>
      <c r="G229" s="18"/>
      <c r="H229" s="18">
        <v>1</v>
      </c>
      <c r="I229" s="18"/>
      <c r="J229" s="18">
        <v>2401</v>
      </c>
      <c r="K229" s="18">
        <v>2500</v>
      </c>
      <c r="L229" s="22">
        <f>IF(C229&lt;J229,0,IF(C229&lt;=K229,1,IF(C229&gt;K229,0)))</f>
        <v>0</v>
      </c>
      <c r="M229" s="18">
        <f>L229*A229</f>
        <v>0</v>
      </c>
      <c r="N229" s="18">
        <v>1</v>
      </c>
      <c r="O229" s="18">
        <f>N229*L229</f>
        <v>0</v>
      </c>
      <c r="P229" s="18"/>
      <c r="Q229" s="18"/>
      <c r="R229" s="22"/>
      <c r="S229" s="18"/>
      <c r="T229" s="18"/>
      <c r="U229" s="18"/>
    </row>
    <row r="230" spans="1:21" s="6" customFormat="1" hidden="1" x14ac:dyDescent="0.25">
      <c r="F230" s="17">
        <f>SUM(F225:F229)</f>
        <v>1</v>
      </c>
      <c r="G230" s="23">
        <f>SUM(G225:G229)</f>
        <v>255281</v>
      </c>
      <c r="I230" s="24">
        <f>SUM(I225:I229)</f>
        <v>1</v>
      </c>
      <c r="L230" s="25">
        <f>SUM(L225:L229)</f>
        <v>1</v>
      </c>
      <c r="M230" s="23">
        <f>SUM(M226:M229)</f>
        <v>297858</v>
      </c>
      <c r="O230" s="26">
        <f>SUM(O226:O229)</f>
        <v>0</v>
      </c>
      <c r="P230" s="19"/>
      <c r="Q230" s="19"/>
      <c r="R230" s="27">
        <f>SUM(R225:R229)</f>
        <v>0</v>
      </c>
      <c r="S230" s="23">
        <f>SUM(S226:S229)</f>
        <v>0</v>
      </c>
      <c r="T230" s="19"/>
      <c r="U230" s="26">
        <f>SUM(U226:U229)</f>
        <v>0</v>
      </c>
    </row>
    <row r="231" spans="1:21" s="6" customFormat="1" hidden="1" x14ac:dyDescent="0.25"/>
    <row r="232" spans="1:21" s="6" customFormat="1" hidden="1" x14ac:dyDescent="0.25">
      <c r="A232" s="6">
        <v>260272</v>
      </c>
      <c r="B232" s="6" t="str">
        <f>VLOOKUP(A232,SAP!1:1048576,2,FALSE)</f>
        <v>Narożnik Ku/r NT/1V</v>
      </c>
      <c r="C232" s="11">
        <v>2</v>
      </c>
      <c r="Q232" s="6" t="s">
        <v>43</v>
      </c>
      <c r="R232" s="11">
        <f>SUM(I230,O230,U230)+2</f>
        <v>3</v>
      </c>
    </row>
    <row r="233" spans="1:21" s="6" customFormat="1" hidden="1" x14ac:dyDescent="0.25">
      <c r="A233" s="6">
        <v>260275</v>
      </c>
      <c r="B233" s="6" t="str">
        <f>VLOOKUP(A233,SAP!1:1048576,2,FALSE)</f>
        <v>Narożnik NT/1E</v>
      </c>
      <c r="C233" s="11">
        <v>2</v>
      </c>
    </row>
    <row r="234" spans="1:21" s="6" customFormat="1" hidden="1" x14ac:dyDescent="0.25"/>
    <row r="235" spans="1:21" s="6" customFormat="1" hidden="1" x14ac:dyDescent="0.25"/>
    <row r="236" spans="1:21" s="6" customFormat="1" hidden="1" x14ac:dyDescent="0.25"/>
    <row r="237" spans="1:21" s="6" customFormat="1" hidden="1" x14ac:dyDescent="0.25">
      <c r="C237" s="5" t="str">
        <f>SAP!A64</f>
        <v>Lewe --&gt;</v>
      </c>
    </row>
    <row r="238" spans="1:21" s="6" customFormat="1" hidden="1" x14ac:dyDescent="0.25">
      <c r="C238" s="5" t="str">
        <f>SAP!A65</f>
        <v>Prawe &lt;--</v>
      </c>
    </row>
    <row r="239" spans="1:21" s="6" customFormat="1" hidden="1" x14ac:dyDescent="0.25">
      <c r="C239" s="6" t="s">
        <v>32</v>
      </c>
      <c r="D239" s="6" t="s">
        <v>4</v>
      </c>
      <c r="E239" s="6" t="s">
        <v>31</v>
      </c>
    </row>
    <row r="240" spans="1:21" s="6" customFormat="1" hidden="1" x14ac:dyDescent="0.25">
      <c r="A240" s="6">
        <v>762909</v>
      </c>
      <c r="B240" s="6" t="str">
        <f>VLOOKUP(A240,SAP!1:1048576,2,FALSE)</f>
        <v>Wózek 8 41 L PIN</v>
      </c>
    </row>
    <row r="241" spans="1:4" s="6" customFormat="1" hidden="1" x14ac:dyDescent="0.25">
      <c r="A241" s="6">
        <v>762910</v>
      </c>
      <c r="B241" s="6" t="str">
        <f>VLOOKUP(A241,SAP!1:1048576,2,FALSE)</f>
        <v>Wózek 8 41 R PIN</v>
      </c>
    </row>
    <row r="242" spans="1:4" s="6" customFormat="1" hidden="1" x14ac:dyDescent="0.25">
      <c r="A242" s="28">
        <v>797726</v>
      </c>
      <c r="B242" s="5" t="str">
        <f>VLOOKUP(A242,SAP!1:1048576,2,FALSE)</f>
        <v xml:space="preserve">Wózek DR 8 41 L PIN </v>
      </c>
      <c r="C242" s="5" t="s">
        <v>77</v>
      </c>
    </row>
    <row r="243" spans="1:4" s="6" customFormat="1" hidden="1" x14ac:dyDescent="0.25">
      <c r="A243" s="28">
        <v>797727</v>
      </c>
      <c r="B243" s="5" t="str">
        <f>VLOOKUP(A243,SAP!1:1048576,2,FALSE)</f>
        <v xml:space="preserve">Wózek DR 8 41 R PIN </v>
      </c>
      <c r="C243" s="5" t="s">
        <v>77</v>
      </c>
    </row>
    <row r="244" spans="1:4" s="6" customFormat="1" hidden="1" x14ac:dyDescent="0.25">
      <c r="C244" s="29">
        <v>1</v>
      </c>
      <c r="D244" s="6" t="s">
        <v>85</v>
      </c>
    </row>
    <row r="245" spans="1:4" s="6" customFormat="1" hidden="1" x14ac:dyDescent="0.25">
      <c r="A245" s="6">
        <v>762911</v>
      </c>
      <c r="B245" s="6" t="str">
        <f>VLOOKUP(A245,SAP!1:1048576,2,FALSE)</f>
        <v>Jednostka ster. 8 41 L PIN</v>
      </c>
    </row>
    <row r="246" spans="1:4" s="6" customFormat="1" hidden="1" x14ac:dyDescent="0.25">
      <c r="A246" s="6">
        <v>762912</v>
      </c>
      <c r="B246" s="6" t="str">
        <f>VLOOKUP(A246,SAP!1:1048576,2,FALSE)</f>
        <v>Jednostka ster. 8 41 R PIN</v>
      </c>
    </row>
    <row r="247" spans="1:4" s="6" customFormat="1" hidden="1" x14ac:dyDescent="0.25">
      <c r="A247" s="5">
        <v>797728</v>
      </c>
      <c r="B247" s="5" t="str">
        <f>VLOOKUP(A247,SAP!1:1048576,2,FALSE)</f>
        <v>Jednostka ster. DR 8 41 L PIN</v>
      </c>
      <c r="C247" s="5" t="s">
        <v>77</v>
      </c>
    </row>
    <row r="248" spans="1:4" s="6" customFormat="1" hidden="1" x14ac:dyDescent="0.25">
      <c r="A248" s="5">
        <v>797729</v>
      </c>
      <c r="B248" s="5" t="str">
        <f>VLOOKUP(A248,SAP!1:1048576,2,FALSE)</f>
        <v>Jednostka ster. DR 8 41 R PIN</v>
      </c>
      <c r="C248" s="5" t="s">
        <v>77</v>
      </c>
    </row>
    <row r="249" spans="1:4" s="6" customFormat="1" hidden="1" x14ac:dyDescent="0.25"/>
    <row r="250" spans="1:4" s="6" customFormat="1" hidden="1" x14ac:dyDescent="0.25">
      <c r="A250" s="6">
        <v>762913</v>
      </c>
      <c r="B250" s="6" t="str">
        <f>VLOOKUP(A250,SAP!1:1048576,2,FALSE)</f>
        <v>Docisk środkowy 8 41 L PIN</v>
      </c>
      <c r="C250" s="11">
        <f>IF(C85&lt;=2200,R232,IF(C85&lt;=2400,R232-1,IF(C85&gt;2400,R232)))</f>
        <v>3</v>
      </c>
      <c r="D250" s="6" t="s">
        <v>86</v>
      </c>
    </row>
    <row r="251" spans="1:4" s="6" customFormat="1" hidden="1" x14ac:dyDescent="0.25">
      <c r="A251" s="6">
        <v>762914</v>
      </c>
      <c r="B251" s="6" t="str">
        <f>VLOOKUP(A251,SAP!1:1048576,2,FALSE)</f>
        <v>Docisk środkowy 8 41 R PIN</v>
      </c>
    </row>
    <row r="252" spans="1:4" s="6" customFormat="1" hidden="1" x14ac:dyDescent="0.25">
      <c r="A252" s="5">
        <v>797730</v>
      </c>
      <c r="B252" s="5" t="str">
        <f>VLOOKUP(A252,SAP!1:1048576,2,FALSE)</f>
        <v>Docisk środkowy DR 8 41 L PIN</v>
      </c>
      <c r="C252" s="5" t="s">
        <v>77</v>
      </c>
    </row>
    <row r="253" spans="1:4" s="6" customFormat="1" hidden="1" x14ac:dyDescent="0.25">
      <c r="A253" s="5">
        <v>797732</v>
      </c>
      <c r="B253" s="5" t="str">
        <f>VLOOKUP(A253,SAP!1:1048576,2,FALSE)</f>
        <v>Docisk środkowy DR 8 41 R PIN</v>
      </c>
      <c r="C253" s="5" t="s">
        <v>77</v>
      </c>
    </row>
    <row r="254" spans="1:4" s="6" customFormat="1" hidden="1" x14ac:dyDescent="0.25"/>
    <row r="255" spans="1:4" s="6" customFormat="1" hidden="1" x14ac:dyDescent="0.25">
      <c r="A255" s="6">
        <v>764350</v>
      </c>
      <c r="B255" s="6" t="str">
        <f>VLOOKUP(A255,SAP!1:1048576,2,FALSE)</f>
        <v>Zamkn. środkowe 1E NTN MV130 łączone</v>
      </c>
      <c r="C255" s="6">
        <v>6</v>
      </c>
    </row>
    <row r="256" spans="1:4" s="6" customFormat="1" hidden="1" x14ac:dyDescent="0.25"/>
    <row r="257" spans="1:4" s="6" customFormat="1" hidden="1" x14ac:dyDescent="0.25">
      <c r="A257" s="5">
        <v>771375</v>
      </c>
      <c r="B257" s="5" t="str">
        <f>VLOOKUP(A257,SAP!1:1048576,2,FALSE)</f>
        <v>Trzpień docisku środkowego 34.4 PIN Holz</v>
      </c>
      <c r="C257" s="11">
        <f>R232</f>
        <v>3</v>
      </c>
    </row>
    <row r="258" spans="1:4" s="6" customFormat="1" hidden="1" x14ac:dyDescent="0.25">
      <c r="A258" s="6">
        <v>809614</v>
      </c>
      <c r="B258" s="6" t="str">
        <f>VLOOKUP(A258,SAP!1:1048576,2,FALSE)</f>
        <v>Trzpień docisku środkowego 38.4 PIN Gealan</v>
      </c>
    </row>
    <row r="259" spans="1:4" s="6" customFormat="1" hidden="1" x14ac:dyDescent="0.25">
      <c r="A259" s="6">
        <v>809612</v>
      </c>
      <c r="B259" s="6" t="str">
        <f>VLOOKUP(A259,SAP!1:1048576,2,FALSE)</f>
        <v>Trzpień docisku środkowego 32.8 PIN Aluplast</v>
      </c>
    </row>
    <row r="260" spans="1:4" s="6" customFormat="1" hidden="1" x14ac:dyDescent="0.25"/>
    <row r="261" spans="1:4" s="6" customFormat="1" hidden="1" x14ac:dyDescent="0.25"/>
    <row r="262" spans="1:4" s="6" customFormat="1" hidden="1" x14ac:dyDescent="0.25">
      <c r="A262" s="6">
        <v>793493</v>
      </c>
      <c r="B262" s="6" t="str">
        <f>VLOOKUP(A262,SAP!1:1048576,2,FALSE)</f>
        <v>Zaczep docisku MV-SEB</v>
      </c>
      <c r="C262" s="11">
        <f>IF(C85&lt;=2200,R232,IF(C85&lt;=2400,R232-1,IF(C85&gt;2400,R232)))</f>
        <v>3</v>
      </c>
      <c r="D262" s="6" t="s">
        <v>49</v>
      </c>
    </row>
    <row r="263" spans="1:4" s="6" customFormat="1" hidden="1" x14ac:dyDescent="0.25">
      <c r="A263" s="5">
        <v>798223</v>
      </c>
      <c r="B263" s="5" t="str">
        <f>VLOOKUP(A263,SAP!1:1048576,2,FALSE)</f>
        <v>Zaczep docisku MV-SEB Holz</v>
      </c>
      <c r="C263" s="5"/>
      <c r="D263" s="5" t="s">
        <v>50</v>
      </c>
    </row>
    <row r="264" spans="1:4" s="6" customFormat="1" hidden="1" x14ac:dyDescent="0.25"/>
    <row r="265" spans="1:4" s="6" customFormat="1" hidden="1" x14ac:dyDescent="0.25">
      <c r="A265" s="6">
        <v>798225</v>
      </c>
      <c r="B265" s="6" t="str">
        <f>VLOOKUP(A265,SAP!1:1048576,2,FALSE)</f>
        <v>Zaczep p-wywBlok.bł.obsługiDr/PVC12.2PIN</v>
      </c>
      <c r="C265" s="6">
        <f>IF(C87&lt;1000,0,IF(C87&gt;=1001,1))</f>
        <v>1</v>
      </c>
    </row>
    <row r="266" spans="1:4" s="6" customFormat="1" hidden="1" x14ac:dyDescent="0.25">
      <c r="A266" s="6">
        <v>788175</v>
      </c>
      <c r="B266" s="6" t="str">
        <f>VLOOKUP(A266,SAP!1:1048576,2,FALSE)</f>
        <v>Zaczep blok.bł.obsługi drewno/PVC12.2PIN</v>
      </c>
    </row>
    <row r="267" spans="1:4" s="6" customFormat="1" hidden="1" x14ac:dyDescent="0.25"/>
    <row r="268" spans="1:4" s="6" customFormat="1" hidden="1" x14ac:dyDescent="0.25">
      <c r="A268" s="6">
        <v>0</v>
      </c>
      <c r="B268" s="6" t="s">
        <v>40</v>
      </c>
    </row>
    <row r="269" spans="1:4" s="6" customFormat="1" hidden="1" x14ac:dyDescent="0.25"/>
    <row r="270" spans="1:4" s="6" customFormat="1" hidden="1" x14ac:dyDescent="0.25">
      <c r="A270" s="6">
        <v>744579</v>
      </c>
      <c r="B270" s="6" t="str">
        <f>VLOOKUP(A270,SAP!1:1048576,2,FALSE)</f>
        <v>Zaczep p-wyw PVC 12.2 PIN</v>
      </c>
    </row>
    <row r="271" spans="1:4" s="6" customFormat="1" hidden="1" x14ac:dyDescent="0.25">
      <c r="A271" s="5">
        <v>798224</v>
      </c>
      <c r="B271" s="5" t="str">
        <f>VLOOKUP(A271,SAP!1:1048576,2,FALSE)</f>
        <v>Zaczep p-wyw drewno L</v>
      </c>
      <c r="C271" s="5" t="s">
        <v>77</v>
      </c>
    </row>
    <row r="272" spans="1:4" s="6" customFormat="1" hidden="1" x14ac:dyDescent="0.25">
      <c r="A272" s="5">
        <v>798245</v>
      </c>
      <c r="B272" s="5" t="str">
        <f>VLOOKUP(A272,SAP!1:1048576,2,FALSE)</f>
        <v>Zaczep p-wyw drewno R</v>
      </c>
      <c r="C272" s="5" t="s">
        <v>77</v>
      </c>
    </row>
    <row r="273" spans="1:5" s="6" customFormat="1" hidden="1" x14ac:dyDescent="0.25">
      <c r="A273" s="30"/>
      <c r="B273" s="30"/>
      <c r="C273" s="30"/>
    </row>
    <row r="274" spans="1:5" s="6" customFormat="1" hidden="1" x14ac:dyDescent="0.25">
      <c r="A274" s="6">
        <v>635307</v>
      </c>
      <c r="B274" s="6" t="str">
        <f>VLOOKUP(A274,SAP!1:1048576,2,FALSE)</f>
        <v>Zderzak 14 PIN</v>
      </c>
      <c r="E274" s="6">
        <v>1</v>
      </c>
    </row>
    <row r="275" spans="1:5" s="6" customFormat="1" hidden="1" x14ac:dyDescent="0.25"/>
    <row r="276" spans="1:5" s="6" customFormat="1" hidden="1" x14ac:dyDescent="0.25">
      <c r="A276" s="6">
        <v>635183</v>
      </c>
      <c r="B276" s="6" t="str">
        <f>VLOOKUP(A276,SAP!1:1048576,2,FALSE)</f>
        <v>Odbojnik gumowy 21x8 RAL9005 Inowa</v>
      </c>
    </row>
    <row r="277" spans="1:5" s="6" customFormat="1" hidden="1" x14ac:dyDescent="0.25">
      <c r="A277" s="5">
        <v>798249</v>
      </c>
      <c r="B277" s="5" t="str">
        <f>VLOOKUP(A277,SAP!1:1048576,2,FALSE)</f>
        <v>Odbojnik gumowy 21X11.5 RAL 9005 Holz</v>
      </c>
      <c r="C277" s="5" t="s">
        <v>77</v>
      </c>
    </row>
    <row r="278" spans="1:5" s="6" customFormat="1" hidden="1" x14ac:dyDescent="0.25"/>
    <row r="279" spans="1:5" s="6" customFormat="1" hidden="1" x14ac:dyDescent="0.25">
      <c r="A279" s="98">
        <v>819632</v>
      </c>
      <c r="B279" s="6" t="str">
        <f>VLOOKUP(A279,SAP!A135:G409,2,FALSE)</f>
        <v>Osłona MB R01.1 PIN</v>
      </c>
      <c r="C279" s="6" t="str">
        <f>SAP!A113</f>
        <v>R01.1 naturalny srebrny</v>
      </c>
      <c r="E279" s="11">
        <v>1</v>
      </c>
    </row>
    <row r="280" spans="1:5" s="6" customFormat="1" hidden="1" x14ac:dyDescent="0.25">
      <c r="A280" s="98">
        <v>819631</v>
      </c>
      <c r="B280" s="6" t="str">
        <f>VLOOKUP(A280,SAP!A135:G409,2,FALSE)</f>
        <v>Osłona MB R05.3 PIN</v>
      </c>
      <c r="C280" s="6" t="str">
        <f>SAP!A112</f>
        <v>R05.3 średni brąz</v>
      </c>
    </row>
    <row r="281" spans="1:5" s="6" customFormat="1" hidden="1" x14ac:dyDescent="0.25">
      <c r="A281" s="6">
        <v>798979</v>
      </c>
      <c r="B281" s="6" t="str">
        <f>VLOOKUP(A281,SAP!1:1048576,2,FALSE)</f>
        <v>Osłona MB R06.2 PIN</v>
      </c>
      <c r="C281" s="6" t="str">
        <f>SAP!A110</f>
        <v>R06.2 czarny</v>
      </c>
    </row>
    <row r="282" spans="1:5" s="6" customFormat="1" hidden="1" x14ac:dyDescent="0.25">
      <c r="A282" s="6">
        <v>808054</v>
      </c>
      <c r="B282" s="6" t="str">
        <f>VLOOKUP(A282,SAP!1:1048576,2,FALSE)</f>
        <v>Osłona MB R07.2 PIN</v>
      </c>
      <c r="C282" s="6" t="str">
        <f>SAP!A111</f>
        <v>R07.2 biały</v>
      </c>
    </row>
    <row r="283" spans="1:5" s="6" customFormat="1" hidden="1" x14ac:dyDescent="0.25"/>
    <row r="284" spans="1:5" s="6" customFormat="1" hidden="1" x14ac:dyDescent="0.25">
      <c r="A284" s="5">
        <f>SAP!A276</f>
        <v>807733</v>
      </c>
      <c r="B284" s="5" t="str">
        <f>VLOOKUP(A284,SAP!1:1048576,2,FALSE)</f>
        <v>Próg AL L=3,2M R01.1-1101 PIN</v>
      </c>
    </row>
    <row r="285" spans="1:5" s="6" customFormat="1" hidden="1" x14ac:dyDescent="0.25">
      <c r="A285" s="5">
        <f>SAP!A277</f>
        <v>807734</v>
      </c>
      <c r="B285" s="5" t="str">
        <f>VLOOKUP(A285,SAP!1:1048576,2,FALSE)</f>
        <v>Próg AL L=6,4M R01.1-1101 PIN</v>
      </c>
    </row>
    <row r="286" spans="1:5" s="6" customFormat="1" hidden="1" x14ac:dyDescent="0.25"/>
    <row r="287" spans="1:5" s="6" customFormat="1" hidden="1" x14ac:dyDescent="0.25">
      <c r="A287" s="6">
        <v>782921</v>
      </c>
      <c r="B287" s="6" t="str">
        <f>VLOOKUP(A287,SAP!$1:$1048576,2,FALSE)</f>
        <v>Prowadnica L=3,2M R01.1-1101 PIN</v>
      </c>
    </row>
    <row r="288" spans="1:5" s="6" customFormat="1" hidden="1" x14ac:dyDescent="0.25">
      <c r="A288" s="6">
        <v>782922</v>
      </c>
      <c r="B288" s="6" t="str">
        <f>VLOOKUP(A288,SAP!$1:$1048576,2,FALSE)</f>
        <v>Prowadnica L=6,4M R01.1-1101 PIN</v>
      </c>
    </row>
    <row r="289" spans="1:7" s="6" customFormat="1" hidden="1" x14ac:dyDescent="0.25"/>
    <row r="290" spans="1:7" s="6" customFormat="1" hidden="1" x14ac:dyDescent="0.25">
      <c r="A290" s="5">
        <f>SAP!A282</f>
        <v>473587</v>
      </c>
      <c r="B290" s="5" t="str">
        <f>VLOOKUP(A290,SAP!1:1048576,2,FALSE)</f>
        <v>Uszczelka QL-3006 2,1m BRĄZ RAL8019</v>
      </c>
    </row>
    <row r="291" spans="1:7" s="6" customFormat="1" hidden="1" x14ac:dyDescent="0.25">
      <c r="A291" s="5">
        <f>SAP!A283</f>
        <v>473588</v>
      </c>
      <c r="B291" s="5" t="str">
        <f>VLOOKUP(A291,SAP!1:1048576,2,FALSE)</f>
        <v>Uszczelka QL-7000 BRĄZ RAL8019</v>
      </c>
    </row>
    <row r="292" spans="1:7" s="6" customFormat="1" hidden="1" x14ac:dyDescent="0.25">
      <c r="C292" s="6" t="s">
        <v>196</v>
      </c>
      <c r="D292" s="6" t="s">
        <v>195</v>
      </c>
      <c r="E292" s="6" t="s">
        <v>197</v>
      </c>
    </row>
    <row r="293" spans="1:7" s="6" customFormat="1" hidden="1" x14ac:dyDescent="0.25">
      <c r="C293" s="31">
        <f>D75</f>
        <v>1</v>
      </c>
      <c r="D293" s="31">
        <f>D82</f>
        <v>3</v>
      </c>
      <c r="E293" s="31">
        <f>F83</f>
        <v>5</v>
      </c>
    </row>
    <row r="294" spans="1:7" s="6" customFormat="1" hidden="1" x14ac:dyDescent="0.25">
      <c r="A294" s="6">
        <v>786362</v>
      </c>
      <c r="B294" s="6" t="str">
        <f>VLOOKUP(A294,SAP!$1:$1048576,2,FALSE)</f>
        <v>Klamka R-line 32mm 200 R01.1 ALV</v>
      </c>
      <c r="C294" s="6">
        <f>IF($C$293=1,1,IF($C$293&lt;&gt;1,0))</f>
        <v>1</v>
      </c>
      <c r="D294" s="6">
        <f>IF($D$293=1,1,IF($D$293&lt;&gt;1,0))</f>
        <v>0</v>
      </c>
      <c r="E294" s="6">
        <f>IF($E$293=1,1,IF($E$293&lt;&gt;1,0))</f>
        <v>0</v>
      </c>
      <c r="F294" s="6">
        <f>C294*D294*E294</f>
        <v>0</v>
      </c>
      <c r="G294" s="6">
        <f>F294*A294</f>
        <v>0</v>
      </c>
    </row>
    <row r="295" spans="1:7" s="6" customFormat="1" hidden="1" x14ac:dyDescent="0.25">
      <c r="A295" s="6">
        <v>786669</v>
      </c>
      <c r="B295" s="6" t="str">
        <f>VLOOKUP(A295,SAP!$1:$1048576,2,FALSE)</f>
        <v>Klamka R-line 32mm 200 R01.2 ALV</v>
      </c>
      <c r="C295" s="6">
        <f t="shared" ref="C295:C326" si="25">IF($C$293=1,1,IF($C$293&lt;&gt;1,0))</f>
        <v>1</v>
      </c>
      <c r="D295" s="6">
        <f t="shared" ref="D295:D304" si="26">IF($D$293=1,1,IF($D$293&lt;&gt;1,0))</f>
        <v>0</v>
      </c>
      <c r="E295" s="6">
        <f>IF($E$293=2,1,IF($E$293&lt;&gt;2,0))</f>
        <v>0</v>
      </c>
      <c r="F295" s="6">
        <f t="shared" ref="F295:F326" si="27">C295*D295*E295</f>
        <v>0</v>
      </c>
      <c r="G295" s="6">
        <f t="shared" ref="G295:G326" si="28">F295*A295</f>
        <v>0</v>
      </c>
    </row>
    <row r="296" spans="1:7" s="6" customFormat="1" hidden="1" x14ac:dyDescent="0.25">
      <c r="A296" s="6">
        <v>786670</v>
      </c>
      <c r="B296" s="6" t="str">
        <f>VLOOKUP(A296,SAP!$1:$1048576,2,FALSE)</f>
        <v>Klamka R-line 32mm 200 R01.3 ALV</v>
      </c>
      <c r="C296" s="6">
        <f t="shared" si="25"/>
        <v>1</v>
      </c>
      <c r="D296" s="6">
        <f t="shared" si="26"/>
        <v>0</v>
      </c>
      <c r="E296" s="6">
        <f>IF($E$293=3,1,IF($E$293&lt;&gt;3,0))</f>
        <v>0</v>
      </c>
      <c r="F296" s="6">
        <f t="shared" si="27"/>
        <v>0</v>
      </c>
      <c r="G296" s="6">
        <f t="shared" si="28"/>
        <v>0</v>
      </c>
    </row>
    <row r="297" spans="1:7" s="6" customFormat="1" hidden="1" x14ac:dyDescent="0.25">
      <c r="A297" s="6">
        <v>786671</v>
      </c>
      <c r="B297" s="6" t="str">
        <f>VLOOKUP(A297,SAP!$1:$1048576,2,FALSE)</f>
        <v>Klamka R-line 32mm 200 R01.5 ALV</v>
      </c>
      <c r="C297" s="6">
        <f t="shared" si="25"/>
        <v>1</v>
      </c>
      <c r="D297" s="6">
        <f t="shared" si="26"/>
        <v>0</v>
      </c>
      <c r="E297" s="6">
        <f>IF($E$293=4,1,IF($E$293&lt;&gt;4,0))</f>
        <v>0</v>
      </c>
      <c r="F297" s="6">
        <f t="shared" si="27"/>
        <v>0</v>
      </c>
      <c r="G297" s="6">
        <f t="shared" si="28"/>
        <v>0</v>
      </c>
    </row>
    <row r="298" spans="1:7" s="6" customFormat="1" hidden="1" x14ac:dyDescent="0.25">
      <c r="A298" s="6">
        <v>0</v>
      </c>
      <c r="B298" s="6" t="str">
        <f>VLOOKUP(A298,SAP!$1:$1048576,2,FALSE)</f>
        <v>__</v>
      </c>
      <c r="C298" s="6">
        <f t="shared" si="25"/>
        <v>1</v>
      </c>
      <c r="D298" s="6">
        <f t="shared" si="26"/>
        <v>0</v>
      </c>
      <c r="E298" s="6">
        <f>IF($E$293=5,1,IF($E$293&lt;&gt;5,0))</f>
        <v>1</v>
      </c>
      <c r="F298" s="6">
        <f t="shared" ref="F298" si="29">C298*D298*E298</f>
        <v>0</v>
      </c>
      <c r="G298" s="6">
        <f t="shared" ref="G298" si="30">F298*A298</f>
        <v>0</v>
      </c>
    </row>
    <row r="299" spans="1:7" s="6" customFormat="1" hidden="1" x14ac:dyDescent="0.25">
      <c r="A299" s="6">
        <v>786363</v>
      </c>
      <c r="B299" s="6" t="str">
        <f>VLOOKUP(A299,SAP!$1:$1048576,2,FALSE)</f>
        <v>Klamka R-line 32mm 200 R05.3 ALV</v>
      </c>
      <c r="C299" s="6">
        <f t="shared" si="25"/>
        <v>1</v>
      </c>
      <c r="D299" s="6">
        <f t="shared" si="26"/>
        <v>0</v>
      </c>
      <c r="E299" s="6">
        <f>IF($E$293=6,1,IF($E$293&lt;&gt;6,0))</f>
        <v>0</v>
      </c>
      <c r="F299" s="6">
        <f t="shared" si="27"/>
        <v>0</v>
      </c>
      <c r="G299" s="6">
        <f t="shared" si="28"/>
        <v>0</v>
      </c>
    </row>
    <row r="300" spans="1:7" s="6" customFormat="1" hidden="1" x14ac:dyDescent="0.25">
      <c r="A300" s="6">
        <v>786364</v>
      </c>
      <c r="B300" s="6" t="str">
        <f>VLOOKUP(A300,SAP!$1:$1048576,2,FALSE)</f>
        <v>Klamka R-line 32mm 200 R05.4 ALV</v>
      </c>
      <c r="C300" s="6">
        <f t="shared" si="25"/>
        <v>1</v>
      </c>
      <c r="D300" s="6">
        <f t="shared" si="26"/>
        <v>0</v>
      </c>
      <c r="E300" s="6">
        <f>IF($E$293=7,1,IF($E$293&lt;&gt;7,0))</f>
        <v>0</v>
      </c>
      <c r="F300" s="6">
        <f t="shared" si="27"/>
        <v>0</v>
      </c>
      <c r="G300" s="6">
        <f t="shared" si="28"/>
        <v>0</v>
      </c>
    </row>
    <row r="301" spans="1:7" s="6" customFormat="1" hidden="1" x14ac:dyDescent="0.25">
      <c r="A301" s="6">
        <v>786673</v>
      </c>
      <c r="B301" s="6" t="str">
        <f>VLOOKUP(A301,SAP!$1:$1048576,2,FALSE)</f>
        <v>Klamka R-line 32mm 200 R05.5 ALV</v>
      </c>
      <c r="C301" s="6">
        <f t="shared" si="25"/>
        <v>1</v>
      </c>
      <c r="D301" s="6">
        <f t="shared" si="26"/>
        <v>0</v>
      </c>
      <c r="E301" s="6">
        <f>IF($E$293=8,1,IF($E$293&lt;&gt;8,0))</f>
        <v>0</v>
      </c>
      <c r="F301" s="6">
        <f t="shared" si="27"/>
        <v>0</v>
      </c>
      <c r="G301" s="6">
        <f t="shared" si="28"/>
        <v>0</v>
      </c>
    </row>
    <row r="302" spans="1:7" s="6" customFormat="1" hidden="1" x14ac:dyDescent="0.25">
      <c r="A302" s="6">
        <v>786674</v>
      </c>
      <c r="B302" s="6" t="str">
        <f>VLOOKUP(A302,SAP!$1:$1048576,2,FALSE)</f>
        <v>Klamka R-line 32mm 200 R06.2M ALV</v>
      </c>
      <c r="C302" s="6">
        <f t="shared" si="25"/>
        <v>1</v>
      </c>
      <c r="D302" s="6">
        <f t="shared" si="26"/>
        <v>0</v>
      </c>
      <c r="E302" s="6">
        <f>IF($E$293=9,1,IF($E$293&lt;&gt;9,0))</f>
        <v>0</v>
      </c>
      <c r="F302" s="6">
        <f t="shared" si="27"/>
        <v>0</v>
      </c>
      <c r="G302" s="6">
        <f t="shared" si="28"/>
        <v>0</v>
      </c>
    </row>
    <row r="303" spans="1:7" s="6" customFormat="1" hidden="1" x14ac:dyDescent="0.25">
      <c r="A303" s="6">
        <v>786395</v>
      </c>
      <c r="B303" s="6" t="str">
        <f>VLOOKUP(A303,SAP!$1:$1048576,2,FALSE)</f>
        <v>Klamka R-line 32mm 200 R07.2 ALV</v>
      </c>
      <c r="C303" s="6">
        <f t="shared" si="25"/>
        <v>1</v>
      </c>
      <c r="D303" s="6">
        <f t="shared" si="26"/>
        <v>0</v>
      </c>
      <c r="E303" s="6">
        <f>IF($E$293=10,1,IF($E$293&lt;&gt;10,0))</f>
        <v>0</v>
      </c>
      <c r="F303" s="6">
        <f t="shared" si="27"/>
        <v>0</v>
      </c>
      <c r="G303" s="6">
        <f t="shared" si="28"/>
        <v>0</v>
      </c>
    </row>
    <row r="304" spans="1:7" s="6" customFormat="1" hidden="1" x14ac:dyDescent="0.25">
      <c r="A304" s="6">
        <v>786717</v>
      </c>
      <c r="B304" s="6" t="str">
        <f>VLOOKUP(A304,SAP!$1:$1048576,2,FALSE)</f>
        <v>Klamka R-line 32mm 200 R07.3 ALV</v>
      </c>
      <c r="C304" s="6">
        <f t="shared" si="25"/>
        <v>1</v>
      </c>
      <c r="D304" s="6">
        <f t="shared" si="26"/>
        <v>0</v>
      </c>
      <c r="E304" s="6">
        <f>IF($E$293=11,1,IF($E$293&lt;&gt;11,0))</f>
        <v>0</v>
      </c>
      <c r="F304" s="6">
        <f t="shared" si="27"/>
        <v>0</v>
      </c>
      <c r="G304" s="6">
        <f t="shared" si="28"/>
        <v>0</v>
      </c>
    </row>
    <row r="305" spans="1:7" s="6" customFormat="1" hidden="1" x14ac:dyDescent="0.25">
      <c r="A305" s="6">
        <v>780549</v>
      </c>
      <c r="B305" s="6" t="str">
        <f>VLOOKUP(A305,SAP!$1:$1048576,2,FALSE)</f>
        <v>Klamka R-line 37mm 200 R01.1 ALV</v>
      </c>
      <c r="C305" s="6">
        <f t="shared" si="25"/>
        <v>1</v>
      </c>
      <c r="D305" s="6">
        <f>IF($D$293=2,1,IF($D$293&lt;&gt;2,0))</f>
        <v>0</v>
      </c>
      <c r="E305" s="6">
        <f>IF($E$293=1,1,IF($E$293&lt;&gt;1,0))</f>
        <v>0</v>
      </c>
      <c r="F305" s="6">
        <f t="shared" si="27"/>
        <v>0</v>
      </c>
      <c r="G305" s="6">
        <f t="shared" si="28"/>
        <v>0</v>
      </c>
    </row>
    <row r="306" spans="1:7" s="6" customFormat="1" hidden="1" x14ac:dyDescent="0.25">
      <c r="A306" s="6">
        <v>786517</v>
      </c>
      <c r="B306" s="6" t="str">
        <f>VLOOKUP(A306,SAP!$1:$1048576,2,FALSE)</f>
        <v>Klamka R-line 37mm 200 R01.2 ALV</v>
      </c>
      <c r="C306" s="6">
        <f t="shared" si="25"/>
        <v>1</v>
      </c>
      <c r="D306" s="6">
        <f t="shared" ref="D306:D315" si="31">IF($D$293=2,1,IF($D$293&lt;&gt;2,0))</f>
        <v>0</v>
      </c>
      <c r="E306" s="6">
        <f>IF($E$293=2,1,IF($E$293&lt;&gt;2,0))</f>
        <v>0</v>
      </c>
      <c r="F306" s="6">
        <f t="shared" si="27"/>
        <v>0</v>
      </c>
      <c r="G306" s="6">
        <f t="shared" si="28"/>
        <v>0</v>
      </c>
    </row>
    <row r="307" spans="1:7" s="6" customFormat="1" hidden="1" x14ac:dyDescent="0.25">
      <c r="A307" s="6">
        <v>780552</v>
      </c>
      <c r="B307" s="6" t="str">
        <f>VLOOKUP(A307,SAP!$1:$1048576,2,FALSE)</f>
        <v>Klamka R-line 37mm 200 R01.3 ALV</v>
      </c>
      <c r="C307" s="6">
        <f t="shared" si="25"/>
        <v>1</v>
      </c>
      <c r="D307" s="6">
        <f t="shared" si="31"/>
        <v>0</v>
      </c>
      <c r="E307" s="6">
        <f>IF($E$293=3,1,IF($E$293&lt;&gt;3,0))</f>
        <v>0</v>
      </c>
      <c r="F307" s="6">
        <f t="shared" si="27"/>
        <v>0</v>
      </c>
      <c r="G307" s="6">
        <f t="shared" si="28"/>
        <v>0</v>
      </c>
    </row>
    <row r="308" spans="1:7" s="6" customFormat="1" hidden="1" x14ac:dyDescent="0.25">
      <c r="A308" s="6">
        <v>786519</v>
      </c>
      <c r="B308" s="6" t="str">
        <f>VLOOKUP(A308,SAP!$1:$1048576,2,FALSE)</f>
        <v>Klamka R-line 37mm 200 R01.5 ALV</v>
      </c>
      <c r="C308" s="6">
        <f t="shared" si="25"/>
        <v>1</v>
      </c>
      <c r="D308" s="6">
        <f t="shared" si="31"/>
        <v>0</v>
      </c>
      <c r="E308" s="6">
        <f>IF($E$293=4,1,IF($E$293&lt;&gt;4,0))</f>
        <v>0</v>
      </c>
      <c r="F308" s="6">
        <f t="shared" si="27"/>
        <v>0</v>
      </c>
      <c r="G308" s="6">
        <f t="shared" si="28"/>
        <v>0</v>
      </c>
    </row>
    <row r="309" spans="1:7" s="6" customFormat="1" hidden="1" x14ac:dyDescent="0.25">
      <c r="A309" s="6">
        <v>0</v>
      </c>
      <c r="B309" s="6" t="str">
        <f>VLOOKUP(A309,SAP!$1:$1048576,2,FALSE)</f>
        <v>__</v>
      </c>
      <c r="C309" s="6">
        <f t="shared" si="25"/>
        <v>1</v>
      </c>
      <c r="D309" s="6">
        <f t="shared" si="31"/>
        <v>0</v>
      </c>
      <c r="E309" s="6">
        <f>IF($E$293=5,1,IF($E$293&lt;&gt;5,0))</f>
        <v>1</v>
      </c>
      <c r="F309" s="6">
        <f t="shared" ref="F309" si="32">C309*D309*E309</f>
        <v>0</v>
      </c>
      <c r="G309" s="6">
        <f t="shared" ref="G309" si="33">F309*A309</f>
        <v>0</v>
      </c>
    </row>
    <row r="310" spans="1:7" s="6" customFormat="1" hidden="1" x14ac:dyDescent="0.25">
      <c r="A310" s="6">
        <v>780575</v>
      </c>
      <c r="B310" s="6" t="str">
        <f>VLOOKUP(A310,SAP!$1:$1048576,2,FALSE)</f>
        <v>Klamka R-line 37mm 200 R05.3 ALV</v>
      </c>
      <c r="C310" s="6">
        <f t="shared" si="25"/>
        <v>1</v>
      </c>
      <c r="D310" s="6">
        <f t="shared" si="31"/>
        <v>0</v>
      </c>
      <c r="E310" s="6">
        <f>IF($E$293=6,1,IF($E$293&lt;&gt;6,0))</f>
        <v>0</v>
      </c>
      <c r="F310" s="6">
        <f t="shared" si="27"/>
        <v>0</v>
      </c>
      <c r="G310" s="6">
        <f t="shared" si="28"/>
        <v>0</v>
      </c>
    </row>
    <row r="311" spans="1:7" s="6" customFormat="1" hidden="1" x14ac:dyDescent="0.25">
      <c r="A311" s="6">
        <v>780576</v>
      </c>
      <c r="B311" s="6" t="str">
        <f>VLOOKUP(A311,SAP!$1:$1048576,2,FALSE)</f>
        <v>Klamka R-line 37mm 200 R05.4 ALV</v>
      </c>
      <c r="C311" s="6">
        <f t="shared" si="25"/>
        <v>1</v>
      </c>
      <c r="D311" s="6">
        <f t="shared" si="31"/>
        <v>0</v>
      </c>
      <c r="E311" s="6">
        <f>IF($E$293=7,1,IF($E$293&lt;&gt;7,0))</f>
        <v>0</v>
      </c>
      <c r="F311" s="6">
        <f t="shared" si="27"/>
        <v>0</v>
      </c>
      <c r="G311" s="6">
        <f t="shared" si="28"/>
        <v>0</v>
      </c>
    </row>
    <row r="312" spans="1:7" s="6" customFormat="1" hidden="1" x14ac:dyDescent="0.25">
      <c r="A312" s="6">
        <v>780577</v>
      </c>
      <c r="B312" s="6" t="str">
        <f>VLOOKUP(A312,SAP!$1:$1048576,2,FALSE)</f>
        <v>Klamka R-line 37mm 200 R05.5 ALV</v>
      </c>
      <c r="C312" s="6">
        <f t="shared" si="25"/>
        <v>1</v>
      </c>
      <c r="D312" s="6">
        <f t="shared" si="31"/>
        <v>0</v>
      </c>
      <c r="E312" s="6">
        <f>IF($E$293=8,1,IF($E$293&lt;&gt;8,0))</f>
        <v>0</v>
      </c>
      <c r="F312" s="6">
        <f t="shared" si="27"/>
        <v>0</v>
      </c>
      <c r="G312" s="6">
        <f t="shared" si="28"/>
        <v>0</v>
      </c>
    </row>
    <row r="313" spans="1:7" s="6" customFormat="1" hidden="1" x14ac:dyDescent="0.25">
      <c r="A313" s="6">
        <v>786715</v>
      </c>
      <c r="B313" s="6" t="str">
        <f>VLOOKUP(A313,SAP!$1:$1048576,2,FALSE)</f>
        <v>Klamka R-line 37mm 200 R06.2M ALV</v>
      </c>
      <c r="C313" s="6">
        <f t="shared" si="25"/>
        <v>1</v>
      </c>
      <c r="D313" s="6">
        <f t="shared" si="31"/>
        <v>0</v>
      </c>
      <c r="E313" s="6">
        <f>IF($E$293=9,1,IF($E$293&lt;&gt;9,0))</f>
        <v>0</v>
      </c>
      <c r="F313" s="6">
        <f t="shared" si="27"/>
        <v>0</v>
      </c>
      <c r="G313" s="6">
        <f t="shared" si="28"/>
        <v>0</v>
      </c>
    </row>
    <row r="314" spans="1:7" s="6" customFormat="1" hidden="1" x14ac:dyDescent="0.25">
      <c r="A314" s="6">
        <v>780578</v>
      </c>
      <c r="B314" s="6" t="str">
        <f>VLOOKUP(A314,SAP!$1:$1048576,2,FALSE)</f>
        <v>Klamka R-line 37mm 200 R07.2 ALV</v>
      </c>
      <c r="C314" s="6">
        <f t="shared" si="25"/>
        <v>1</v>
      </c>
      <c r="D314" s="6">
        <f t="shared" si="31"/>
        <v>0</v>
      </c>
      <c r="E314" s="6">
        <f>IF($E$293=10,1,IF($E$293&lt;&gt;10,0))</f>
        <v>0</v>
      </c>
      <c r="F314" s="6">
        <f t="shared" si="27"/>
        <v>0</v>
      </c>
      <c r="G314" s="6">
        <f t="shared" si="28"/>
        <v>0</v>
      </c>
    </row>
    <row r="315" spans="1:7" s="6" customFormat="1" hidden="1" x14ac:dyDescent="0.25">
      <c r="A315" s="6">
        <v>780579</v>
      </c>
      <c r="B315" s="6" t="str">
        <f>VLOOKUP(A315,SAP!$1:$1048576,2,FALSE)</f>
        <v>Klamka R-line 37mm 200 R07.3 ALV</v>
      </c>
      <c r="C315" s="6">
        <f t="shared" si="25"/>
        <v>1</v>
      </c>
      <c r="D315" s="6">
        <f t="shared" si="31"/>
        <v>0</v>
      </c>
      <c r="E315" s="6">
        <f>IF($E$293=11,1,IF($E$293&lt;&gt;11,0))</f>
        <v>0</v>
      </c>
      <c r="F315" s="6">
        <f t="shared" si="27"/>
        <v>0</v>
      </c>
      <c r="G315" s="6">
        <f t="shared" si="28"/>
        <v>0</v>
      </c>
    </row>
    <row r="316" spans="1:7" s="6" customFormat="1" hidden="1" x14ac:dyDescent="0.25">
      <c r="A316" s="6">
        <v>780551</v>
      </c>
      <c r="B316" s="6" t="str">
        <f>VLOOKUP(A316,SAP!$1:$1048576,2,FALSE)</f>
        <v>Klamka R-line 43mm 200 R01.1 ALV</v>
      </c>
      <c r="C316" s="6">
        <f t="shared" si="25"/>
        <v>1</v>
      </c>
      <c r="D316" s="6">
        <f>IF($D$293=3,1,IF($D$293&lt;&gt;3,0))</f>
        <v>1</v>
      </c>
      <c r="E316" s="6">
        <f>IF($E$293=1,1,IF($E$293&lt;&gt;1,0))</f>
        <v>0</v>
      </c>
      <c r="F316" s="6">
        <f t="shared" si="27"/>
        <v>0</v>
      </c>
      <c r="G316" s="6">
        <f t="shared" si="28"/>
        <v>0</v>
      </c>
    </row>
    <row r="317" spans="1:7" s="6" customFormat="1" hidden="1" x14ac:dyDescent="0.25">
      <c r="A317" s="6">
        <v>786518</v>
      </c>
      <c r="B317" s="6" t="str">
        <f>VLOOKUP(A317,SAP!$1:$1048576,2,FALSE)</f>
        <v>Klamka R-line 43mm 200 R01.2 ALV</v>
      </c>
      <c r="C317" s="6">
        <f t="shared" si="25"/>
        <v>1</v>
      </c>
      <c r="D317" s="6">
        <f t="shared" ref="D317:D326" si="34">IF($D$293=3,1,IF($D$293&lt;&gt;3,0))</f>
        <v>1</v>
      </c>
      <c r="E317" s="6">
        <f>IF($E$293=2,1,IF($E$293&lt;&gt;2,0))</f>
        <v>0</v>
      </c>
      <c r="F317" s="6">
        <f t="shared" si="27"/>
        <v>0</v>
      </c>
      <c r="G317" s="6">
        <f t="shared" si="28"/>
        <v>0</v>
      </c>
    </row>
    <row r="318" spans="1:7" s="6" customFormat="1" hidden="1" x14ac:dyDescent="0.25">
      <c r="A318" s="6">
        <v>780580</v>
      </c>
      <c r="B318" s="6" t="str">
        <f>VLOOKUP(A318,SAP!$1:$1048576,2,FALSE)</f>
        <v>Klamka R-line 43mm 200 R01.3 ALV</v>
      </c>
      <c r="C318" s="6">
        <f t="shared" si="25"/>
        <v>1</v>
      </c>
      <c r="D318" s="6">
        <f t="shared" si="34"/>
        <v>1</v>
      </c>
      <c r="E318" s="6">
        <f>IF($E$293=3,1,IF($E$293&lt;&gt;3,0))</f>
        <v>0</v>
      </c>
      <c r="F318" s="6">
        <f t="shared" si="27"/>
        <v>0</v>
      </c>
      <c r="G318" s="6">
        <f t="shared" si="28"/>
        <v>0</v>
      </c>
    </row>
    <row r="319" spans="1:7" s="6" customFormat="1" hidden="1" x14ac:dyDescent="0.25">
      <c r="A319" s="6">
        <v>786672</v>
      </c>
      <c r="B319" s="6" t="str">
        <f>VLOOKUP(A319,SAP!$1:$1048576,2,FALSE)</f>
        <v>Klamka R-line 43mm 200 R01.5 ALV</v>
      </c>
      <c r="C319" s="6">
        <f t="shared" si="25"/>
        <v>1</v>
      </c>
      <c r="D319" s="6">
        <f t="shared" si="34"/>
        <v>1</v>
      </c>
      <c r="E319" s="6">
        <f>IF($E$293=4,1,IF($E$293&lt;&gt;4,0))</f>
        <v>0</v>
      </c>
      <c r="F319" s="6">
        <f t="shared" si="27"/>
        <v>0</v>
      </c>
      <c r="G319" s="6">
        <f t="shared" si="28"/>
        <v>0</v>
      </c>
    </row>
    <row r="320" spans="1:7" s="6" customFormat="1" hidden="1" x14ac:dyDescent="0.25">
      <c r="A320" s="37">
        <v>820797</v>
      </c>
      <c r="B320" s="6" t="str">
        <f>VLOOKUP(A320,SAP!$1:$1048576,2,FALSE)</f>
        <v>Klamka R-line 43mm 200 R02.2 ALV</v>
      </c>
      <c r="C320" s="6">
        <f t="shared" si="25"/>
        <v>1</v>
      </c>
      <c r="D320" s="6">
        <f t="shared" si="34"/>
        <v>1</v>
      </c>
      <c r="E320" s="6">
        <f>IF($E$293=5,1,IF($E$293&lt;&gt;5,0))</f>
        <v>1</v>
      </c>
      <c r="F320" s="6">
        <f t="shared" ref="F320" si="35">C320*D320*E320</f>
        <v>1</v>
      </c>
      <c r="G320" s="6">
        <f t="shared" ref="G320" si="36">F320*A320</f>
        <v>820797</v>
      </c>
    </row>
    <row r="321" spans="1:7" s="6" customFormat="1" hidden="1" x14ac:dyDescent="0.25">
      <c r="A321" s="6">
        <v>780581</v>
      </c>
      <c r="B321" s="6" t="str">
        <f>VLOOKUP(A321,SAP!$1:$1048576,2,FALSE)</f>
        <v>Klamka R-line 43mm 200 R05.3 ALV</v>
      </c>
      <c r="C321" s="6">
        <f t="shared" si="25"/>
        <v>1</v>
      </c>
      <c r="D321" s="6">
        <f t="shared" si="34"/>
        <v>1</v>
      </c>
      <c r="E321" s="6">
        <f>IF($E$293=6,1,IF($E$293&lt;&gt;6,0))</f>
        <v>0</v>
      </c>
      <c r="F321" s="6">
        <f t="shared" si="27"/>
        <v>0</v>
      </c>
      <c r="G321" s="6">
        <f t="shared" si="28"/>
        <v>0</v>
      </c>
    </row>
    <row r="322" spans="1:7" s="6" customFormat="1" hidden="1" x14ac:dyDescent="0.25">
      <c r="A322" s="6">
        <v>780582</v>
      </c>
      <c r="B322" s="6" t="str">
        <f>VLOOKUP(A322,SAP!$1:$1048576,2,FALSE)</f>
        <v>Klamka R-line 43mm 200 R05.4 ALV</v>
      </c>
      <c r="C322" s="6">
        <f t="shared" si="25"/>
        <v>1</v>
      </c>
      <c r="D322" s="6">
        <f t="shared" si="34"/>
        <v>1</v>
      </c>
      <c r="E322" s="6">
        <f>IF($E$293=7,1,IF($E$293&lt;&gt;7,0))</f>
        <v>0</v>
      </c>
      <c r="F322" s="6">
        <f t="shared" si="27"/>
        <v>0</v>
      </c>
      <c r="G322" s="6">
        <f t="shared" si="28"/>
        <v>0</v>
      </c>
    </row>
    <row r="323" spans="1:7" s="6" customFormat="1" hidden="1" x14ac:dyDescent="0.25">
      <c r="A323" s="6">
        <v>780583</v>
      </c>
      <c r="B323" s="6" t="str">
        <f>VLOOKUP(A323,SAP!$1:$1048576,2,FALSE)</f>
        <v>Klamka R-line 43mm 200 R05.5 ALV</v>
      </c>
      <c r="C323" s="6">
        <f t="shared" si="25"/>
        <v>1</v>
      </c>
      <c r="D323" s="6">
        <f t="shared" si="34"/>
        <v>1</v>
      </c>
      <c r="E323" s="6">
        <f>IF($E$293=8,1,IF($E$293&lt;&gt;8,0))</f>
        <v>0</v>
      </c>
      <c r="F323" s="6">
        <f t="shared" si="27"/>
        <v>0</v>
      </c>
      <c r="G323" s="6">
        <f t="shared" si="28"/>
        <v>0</v>
      </c>
    </row>
    <row r="324" spans="1:7" s="6" customFormat="1" hidden="1" x14ac:dyDescent="0.25">
      <c r="A324" s="6">
        <v>786716</v>
      </c>
      <c r="B324" s="6" t="str">
        <f>VLOOKUP(A324,SAP!$1:$1048576,2,FALSE)</f>
        <v>Klamka R-line 43mm 200 R06.2M ALV</v>
      </c>
      <c r="C324" s="6">
        <f t="shared" si="25"/>
        <v>1</v>
      </c>
      <c r="D324" s="6">
        <f t="shared" si="34"/>
        <v>1</v>
      </c>
      <c r="E324" s="6">
        <f>IF($E$293=9,1,IF($E$293&lt;&gt;9,0))</f>
        <v>0</v>
      </c>
      <c r="F324" s="6">
        <f t="shared" si="27"/>
        <v>0</v>
      </c>
      <c r="G324" s="6">
        <f t="shared" si="28"/>
        <v>0</v>
      </c>
    </row>
    <row r="325" spans="1:7" s="6" customFormat="1" hidden="1" x14ac:dyDescent="0.25">
      <c r="A325" s="6">
        <v>780584</v>
      </c>
      <c r="B325" s="6" t="str">
        <f>VLOOKUP(A325,SAP!$1:$1048576,2,FALSE)</f>
        <v>Klamka R-line 43mm 200 R07.2 ALV</v>
      </c>
      <c r="C325" s="6">
        <f t="shared" si="25"/>
        <v>1</v>
      </c>
      <c r="D325" s="6">
        <f t="shared" si="34"/>
        <v>1</v>
      </c>
      <c r="E325" s="6">
        <f>IF($E$293=10,1,IF($E$293&lt;&gt;10,0))</f>
        <v>0</v>
      </c>
      <c r="F325" s="6">
        <f t="shared" si="27"/>
        <v>0</v>
      </c>
      <c r="G325" s="6">
        <f t="shared" si="28"/>
        <v>0</v>
      </c>
    </row>
    <row r="326" spans="1:7" s="6" customFormat="1" hidden="1" x14ac:dyDescent="0.25">
      <c r="A326" s="6">
        <v>780585</v>
      </c>
      <c r="B326" s="6" t="str">
        <f>VLOOKUP(A326,SAP!$1:$1048576,2,FALSE)</f>
        <v>Klamka R-line 43mm 200 R07.3 ALV</v>
      </c>
      <c r="C326" s="6">
        <f t="shared" si="25"/>
        <v>1</v>
      </c>
      <c r="D326" s="6">
        <f t="shared" si="34"/>
        <v>1</v>
      </c>
      <c r="E326" s="6">
        <f>IF($E$293=11,1,IF($E$293&lt;&gt;11,0))</f>
        <v>0</v>
      </c>
      <c r="F326" s="6">
        <f t="shared" si="27"/>
        <v>0</v>
      </c>
      <c r="G326" s="6">
        <f t="shared" si="28"/>
        <v>0</v>
      </c>
    </row>
    <row r="327" spans="1:7" s="6" customFormat="1" hidden="1" x14ac:dyDescent="0.25">
      <c r="A327" s="6">
        <v>786719</v>
      </c>
      <c r="B327" s="6" t="str">
        <f>VLOOKUP(A327,SAP!$1:$1048576,2,FALSE)</f>
        <v>Klamka R-line/klucz100Nm32mm200R01.1ALV</v>
      </c>
      <c r="C327" s="6">
        <f>IF($C$293=2,1,IF($C$293&lt;&gt;2,0))</f>
        <v>0</v>
      </c>
      <c r="D327" s="6">
        <f>IF($D$293=1,1,IF($D$293&lt;&gt;1,0))</f>
        <v>0</v>
      </c>
      <c r="E327" s="6">
        <f>IF($E$293=1,1,IF($E$293&lt;&gt;1,0))</f>
        <v>0</v>
      </c>
      <c r="F327" s="6">
        <f>C327*D327*E327</f>
        <v>0</v>
      </c>
      <c r="G327" s="6">
        <f>F327*A327</f>
        <v>0</v>
      </c>
    </row>
    <row r="328" spans="1:7" s="6" customFormat="1" hidden="1" x14ac:dyDescent="0.25">
      <c r="A328" s="6">
        <v>786720</v>
      </c>
      <c r="B328" s="6" t="str">
        <f>VLOOKUP(A328,SAP!$1:$1048576,2,FALSE)</f>
        <v>Klamka R-line/klucz100Nm32mm200R01.2ALV</v>
      </c>
      <c r="C328" s="6">
        <f t="shared" ref="C328:C359" si="37">IF($C$293=2,1,IF($C$293&lt;&gt;2,0))</f>
        <v>0</v>
      </c>
      <c r="D328" s="6">
        <f t="shared" ref="D328:D337" si="38">IF($D$293=1,1,IF($D$293&lt;&gt;1,0))</f>
        <v>0</v>
      </c>
      <c r="E328" s="6">
        <f>IF($E$293=2,1,IF($E$293&lt;&gt;2,0))</f>
        <v>0</v>
      </c>
      <c r="F328" s="6">
        <f t="shared" ref="F328:F359" si="39">C328*D328*E328</f>
        <v>0</v>
      </c>
      <c r="G328" s="6">
        <f t="shared" ref="G328:G359" si="40">F328*A328</f>
        <v>0</v>
      </c>
    </row>
    <row r="329" spans="1:7" s="6" customFormat="1" hidden="1" x14ac:dyDescent="0.25">
      <c r="A329" s="6">
        <v>786732</v>
      </c>
      <c r="B329" s="6" t="str">
        <f>VLOOKUP(A329,SAP!$1:$1048576,2,FALSE)</f>
        <v>Klamka R-line/klucz100Nm32mm200R01.3ALV</v>
      </c>
      <c r="C329" s="6">
        <f t="shared" si="37"/>
        <v>0</v>
      </c>
      <c r="D329" s="6">
        <f t="shared" si="38"/>
        <v>0</v>
      </c>
      <c r="E329" s="6">
        <f>IF($E$293=3,1,IF($E$293&lt;&gt;3,0))</f>
        <v>0</v>
      </c>
      <c r="F329" s="6">
        <f t="shared" si="39"/>
        <v>0</v>
      </c>
      <c r="G329" s="6">
        <f t="shared" si="40"/>
        <v>0</v>
      </c>
    </row>
    <row r="330" spans="1:7" s="6" customFormat="1" hidden="1" x14ac:dyDescent="0.25">
      <c r="A330" s="6">
        <v>786733</v>
      </c>
      <c r="B330" s="6" t="str">
        <f>VLOOKUP(A330,SAP!$1:$1048576,2,FALSE)</f>
        <v>Klamka R-line/klucz100Nm32mm200R01.5ALV</v>
      </c>
      <c r="C330" s="6">
        <f t="shared" si="37"/>
        <v>0</v>
      </c>
      <c r="D330" s="6">
        <f t="shared" si="38"/>
        <v>0</v>
      </c>
      <c r="E330" s="6">
        <f>IF($E$293=4,1,IF($E$293&lt;&gt;4,0))</f>
        <v>0</v>
      </c>
      <c r="F330" s="6">
        <f t="shared" si="39"/>
        <v>0</v>
      </c>
      <c r="G330" s="6">
        <f t="shared" si="40"/>
        <v>0</v>
      </c>
    </row>
    <row r="331" spans="1:7" s="6" customFormat="1" hidden="1" x14ac:dyDescent="0.25">
      <c r="A331" s="6">
        <v>0</v>
      </c>
      <c r="B331" s="6" t="str">
        <f>VLOOKUP(A331,SAP!$1:$1048576,2,FALSE)</f>
        <v>__</v>
      </c>
      <c r="C331" s="6">
        <f t="shared" si="37"/>
        <v>0</v>
      </c>
      <c r="D331" s="6">
        <f t="shared" si="38"/>
        <v>0</v>
      </c>
      <c r="E331" s="6">
        <f>IF($E$293=5,1,IF($E$293&lt;&gt;5,0))</f>
        <v>1</v>
      </c>
      <c r="F331" s="6">
        <f t="shared" ref="F331" si="41">C331*D331*E331</f>
        <v>0</v>
      </c>
      <c r="G331" s="6">
        <f t="shared" ref="G331" si="42">F331*A331</f>
        <v>0</v>
      </c>
    </row>
    <row r="332" spans="1:7" s="6" customFormat="1" hidden="1" x14ac:dyDescent="0.25">
      <c r="A332" s="6">
        <v>786397</v>
      </c>
      <c r="B332" s="6" t="str">
        <f>VLOOKUP(A332,SAP!$1:$1048576,2,FALSE)</f>
        <v>Klamka R-line/klucz100Nm32mm200R05.3ALV</v>
      </c>
      <c r="C332" s="6">
        <f t="shared" si="37"/>
        <v>0</v>
      </c>
      <c r="D332" s="6">
        <f t="shared" si="38"/>
        <v>0</v>
      </c>
      <c r="E332" s="6">
        <f>IF($E$293=6,1,IF($E$293&lt;&gt;6,0))</f>
        <v>0</v>
      </c>
      <c r="F332" s="6">
        <f t="shared" si="39"/>
        <v>0</v>
      </c>
      <c r="G332" s="6">
        <f t="shared" si="40"/>
        <v>0</v>
      </c>
    </row>
    <row r="333" spans="1:7" s="6" customFormat="1" hidden="1" x14ac:dyDescent="0.25">
      <c r="A333" s="6">
        <v>786398</v>
      </c>
      <c r="B333" s="6" t="str">
        <f>VLOOKUP(A333,SAP!$1:$1048576,2,FALSE)</f>
        <v>Klamka R-line/klucz100Nm32mm200R05.4ALV</v>
      </c>
      <c r="C333" s="6">
        <f t="shared" si="37"/>
        <v>0</v>
      </c>
      <c r="D333" s="6">
        <f t="shared" si="38"/>
        <v>0</v>
      </c>
      <c r="E333" s="6">
        <f>IF($E$293=7,1,IF($E$293&lt;&gt;7,0))</f>
        <v>0</v>
      </c>
      <c r="F333" s="6">
        <f t="shared" si="39"/>
        <v>0</v>
      </c>
      <c r="G333" s="6">
        <f t="shared" si="40"/>
        <v>0</v>
      </c>
    </row>
    <row r="334" spans="1:7" s="6" customFormat="1" hidden="1" x14ac:dyDescent="0.25">
      <c r="A334" s="6">
        <v>787000</v>
      </c>
      <c r="B334" s="6" t="str">
        <f>VLOOKUP(A334,SAP!$1:$1048576,2,FALSE)</f>
        <v>Klamka R-line/klucz100Nm32mm200R05.5ALV</v>
      </c>
      <c r="C334" s="6">
        <f t="shared" si="37"/>
        <v>0</v>
      </c>
      <c r="D334" s="6">
        <f t="shared" si="38"/>
        <v>0</v>
      </c>
      <c r="E334" s="6">
        <f>IF($E$293=8,1,IF($E$293&lt;&gt;8,0))</f>
        <v>0</v>
      </c>
      <c r="F334" s="6">
        <f t="shared" si="39"/>
        <v>0</v>
      </c>
      <c r="G334" s="6">
        <f t="shared" si="40"/>
        <v>0</v>
      </c>
    </row>
    <row r="335" spans="1:7" s="6" customFormat="1" hidden="1" x14ac:dyDescent="0.25">
      <c r="A335" s="6">
        <v>787002</v>
      </c>
      <c r="B335" s="6" t="str">
        <f>VLOOKUP(A335,SAP!$1:$1048576,2,FALSE)</f>
        <v>Klamka R-line/klucz100Nm32mm200R06.2MALV</v>
      </c>
      <c r="C335" s="6">
        <f t="shared" si="37"/>
        <v>0</v>
      </c>
      <c r="D335" s="6">
        <f t="shared" si="38"/>
        <v>0</v>
      </c>
      <c r="E335" s="6">
        <f>IF($E$293=9,1,IF($E$293&lt;&gt;9,0))</f>
        <v>0</v>
      </c>
      <c r="F335" s="6">
        <f t="shared" si="39"/>
        <v>0</v>
      </c>
      <c r="G335" s="6">
        <f t="shared" si="40"/>
        <v>0</v>
      </c>
    </row>
    <row r="336" spans="1:7" s="6" customFormat="1" hidden="1" x14ac:dyDescent="0.25">
      <c r="A336" s="6">
        <v>786399</v>
      </c>
      <c r="B336" s="6" t="str">
        <f>VLOOKUP(A336,SAP!$1:$1048576,2,FALSE)</f>
        <v>Klamka R-line/klucz100Nm32mm200R07.2ALV</v>
      </c>
      <c r="C336" s="6">
        <f t="shared" si="37"/>
        <v>0</v>
      </c>
      <c r="D336" s="6">
        <f t="shared" si="38"/>
        <v>0</v>
      </c>
      <c r="E336" s="6">
        <f>IF($E$293=10,1,IF($E$293&lt;&gt;10,0))</f>
        <v>0</v>
      </c>
      <c r="F336" s="6">
        <f t="shared" si="39"/>
        <v>0</v>
      </c>
      <c r="G336" s="6">
        <f t="shared" si="40"/>
        <v>0</v>
      </c>
    </row>
    <row r="337" spans="1:7" s="6" customFormat="1" hidden="1" x14ac:dyDescent="0.25">
      <c r="A337" s="6">
        <v>787001</v>
      </c>
      <c r="B337" s="6" t="str">
        <f>VLOOKUP(A337,SAP!$1:$1048576,2,FALSE)</f>
        <v>Klamka R-line/klucz100Nm32mm200R07.3ALV</v>
      </c>
      <c r="C337" s="6">
        <f t="shared" si="37"/>
        <v>0</v>
      </c>
      <c r="D337" s="6">
        <f t="shared" si="38"/>
        <v>0</v>
      </c>
      <c r="E337" s="6">
        <f>IF($E$293=11,1,IF($E$293&lt;&gt;11,0))</f>
        <v>0</v>
      </c>
      <c r="F337" s="6">
        <f t="shared" si="39"/>
        <v>0</v>
      </c>
      <c r="G337" s="6">
        <f t="shared" si="40"/>
        <v>0</v>
      </c>
    </row>
    <row r="338" spans="1:7" s="6" customFormat="1" hidden="1" x14ac:dyDescent="0.25">
      <c r="A338" s="6">
        <v>780586</v>
      </c>
      <c r="B338" s="6" t="str">
        <f>VLOOKUP(A338,SAP!$1:$1048576,2,FALSE)</f>
        <v>Klamka R-line/klucz100Nm37mm200R01.1ALV</v>
      </c>
      <c r="C338" s="6">
        <f t="shared" si="37"/>
        <v>0</v>
      </c>
      <c r="D338" s="6">
        <f>IF($D$293=2,1,IF($D$293&lt;&gt;2,0))</f>
        <v>0</v>
      </c>
      <c r="E338" s="6">
        <f>IF($E$293=1,1,IF($E$293&lt;&gt;1,0))</f>
        <v>0</v>
      </c>
      <c r="F338" s="6">
        <f t="shared" si="39"/>
        <v>0</v>
      </c>
      <c r="G338" s="6">
        <f t="shared" si="40"/>
        <v>0</v>
      </c>
    </row>
    <row r="339" spans="1:7" s="6" customFormat="1" hidden="1" x14ac:dyDescent="0.25">
      <c r="A339" s="6">
        <v>786396</v>
      </c>
      <c r="B339" s="6" t="str">
        <f>VLOOKUP(A339,SAP!$1:$1048576,2,FALSE)</f>
        <v>Klamka R-line/klucz100Nm37mm200R01.2ALV</v>
      </c>
      <c r="C339" s="6">
        <f t="shared" si="37"/>
        <v>0</v>
      </c>
      <c r="D339" s="6">
        <f t="shared" ref="D339:D348" si="43">IF($D$293=2,1,IF($D$293&lt;&gt;2,0))</f>
        <v>0</v>
      </c>
      <c r="E339" s="6">
        <f>IF($E$293=2,1,IF($E$293&lt;&gt;2,0))</f>
        <v>0</v>
      </c>
      <c r="F339" s="6">
        <f t="shared" si="39"/>
        <v>0</v>
      </c>
      <c r="G339" s="6">
        <f t="shared" si="40"/>
        <v>0</v>
      </c>
    </row>
    <row r="340" spans="1:7" s="6" customFormat="1" hidden="1" x14ac:dyDescent="0.25">
      <c r="A340" s="6">
        <v>780587</v>
      </c>
      <c r="B340" s="6" t="str">
        <f>VLOOKUP(A340,SAP!$1:$1048576,2,FALSE)</f>
        <v>Klamka R-line/klucz100Nm37mm200R01.3ALV</v>
      </c>
      <c r="C340" s="6">
        <f t="shared" si="37"/>
        <v>0</v>
      </c>
      <c r="D340" s="6">
        <f t="shared" si="43"/>
        <v>0</v>
      </c>
      <c r="E340" s="6">
        <f>IF($E$293=3,1,IF($E$293&lt;&gt;3,0))</f>
        <v>0</v>
      </c>
      <c r="F340" s="6">
        <f t="shared" si="39"/>
        <v>0</v>
      </c>
      <c r="G340" s="6">
        <f t="shared" si="40"/>
        <v>0</v>
      </c>
    </row>
    <row r="341" spans="1:7" s="6" customFormat="1" hidden="1" x14ac:dyDescent="0.25">
      <c r="A341" s="6">
        <v>786734</v>
      </c>
      <c r="B341" s="6" t="str">
        <f>VLOOKUP(A341,SAP!$1:$1048576,2,FALSE)</f>
        <v>Klamka R-line/klucz100Nm37mm200R01.5ALV</v>
      </c>
      <c r="C341" s="6">
        <f t="shared" si="37"/>
        <v>0</v>
      </c>
      <c r="D341" s="6">
        <f t="shared" si="43"/>
        <v>0</v>
      </c>
      <c r="E341" s="6">
        <f>IF($E$293=4,1,IF($E$293&lt;&gt;4,0))</f>
        <v>0</v>
      </c>
      <c r="F341" s="6">
        <f t="shared" si="39"/>
        <v>0</v>
      </c>
      <c r="G341" s="6">
        <f t="shared" si="40"/>
        <v>0</v>
      </c>
    </row>
    <row r="342" spans="1:7" s="6" customFormat="1" hidden="1" x14ac:dyDescent="0.25">
      <c r="A342" s="6">
        <v>0</v>
      </c>
      <c r="B342" s="6" t="str">
        <f>VLOOKUP(A342,SAP!$1:$1048576,2,FALSE)</f>
        <v>__</v>
      </c>
      <c r="C342" s="6">
        <f t="shared" si="37"/>
        <v>0</v>
      </c>
      <c r="D342" s="6">
        <f t="shared" si="43"/>
        <v>0</v>
      </c>
      <c r="E342" s="6">
        <f>IF($E$293=5,1,IF($E$293&lt;&gt;5,0))</f>
        <v>1</v>
      </c>
      <c r="F342" s="6">
        <f t="shared" ref="F342" si="44">C342*D342*E342</f>
        <v>0</v>
      </c>
      <c r="G342" s="6">
        <f t="shared" ref="G342" si="45">F342*A342</f>
        <v>0</v>
      </c>
    </row>
    <row r="343" spans="1:7" s="6" customFormat="1" hidden="1" x14ac:dyDescent="0.25">
      <c r="A343" s="6">
        <v>780588</v>
      </c>
      <c r="B343" s="6" t="str">
        <f>VLOOKUP(A343,SAP!$1:$1048576,2,FALSE)</f>
        <v>Klamka R-line/klucz100Nm37mm200R05.3ALV</v>
      </c>
      <c r="C343" s="6">
        <f t="shared" si="37"/>
        <v>0</v>
      </c>
      <c r="D343" s="6">
        <f t="shared" si="43"/>
        <v>0</v>
      </c>
      <c r="E343" s="6">
        <f>IF($E$293=6,1,IF($E$293&lt;&gt;6,0))</f>
        <v>0</v>
      </c>
      <c r="F343" s="6">
        <f t="shared" si="39"/>
        <v>0</v>
      </c>
      <c r="G343" s="6">
        <f t="shared" si="40"/>
        <v>0</v>
      </c>
    </row>
    <row r="344" spans="1:7" s="6" customFormat="1" hidden="1" x14ac:dyDescent="0.25">
      <c r="A344" s="6">
        <v>780589</v>
      </c>
      <c r="B344" s="6" t="str">
        <f>VLOOKUP(A344,SAP!$1:$1048576,2,FALSE)</f>
        <v>Klamka R-line/klucz100Nm37mm200R05.4ALV</v>
      </c>
      <c r="C344" s="6">
        <f t="shared" si="37"/>
        <v>0</v>
      </c>
      <c r="D344" s="6">
        <f t="shared" si="43"/>
        <v>0</v>
      </c>
      <c r="E344" s="6">
        <f>IF($E$293=7,1,IF($E$293&lt;&gt;7,0))</f>
        <v>0</v>
      </c>
      <c r="F344" s="6">
        <f t="shared" si="39"/>
        <v>0</v>
      </c>
      <c r="G344" s="6">
        <f t="shared" si="40"/>
        <v>0</v>
      </c>
    </row>
    <row r="345" spans="1:7" s="6" customFormat="1" hidden="1" x14ac:dyDescent="0.25">
      <c r="A345" s="6">
        <v>780590</v>
      </c>
      <c r="B345" s="6" t="str">
        <f>VLOOKUP(A345,SAP!$1:$1048576,2,FALSE)</f>
        <v>Klamka R-line/klucz100Nm37mm200R05.5ALV</v>
      </c>
      <c r="C345" s="6">
        <f t="shared" si="37"/>
        <v>0</v>
      </c>
      <c r="D345" s="6">
        <f t="shared" si="43"/>
        <v>0</v>
      </c>
      <c r="E345" s="6">
        <f>IF($E$293=8,1,IF($E$293&lt;&gt;8,0))</f>
        <v>0</v>
      </c>
      <c r="F345" s="6">
        <f t="shared" si="39"/>
        <v>0</v>
      </c>
      <c r="G345" s="6">
        <f t="shared" si="40"/>
        <v>0</v>
      </c>
    </row>
    <row r="346" spans="1:7" s="6" customFormat="1" hidden="1" x14ac:dyDescent="0.25">
      <c r="A346" s="6">
        <v>787003</v>
      </c>
      <c r="B346" s="6" t="str">
        <f>VLOOKUP(A346,SAP!$1:$1048576,2,FALSE)</f>
        <v>Klamka R-line/klucz100Nm37mm200R06.2MALV</v>
      </c>
      <c r="C346" s="6">
        <f t="shared" si="37"/>
        <v>0</v>
      </c>
      <c r="D346" s="6">
        <f t="shared" si="43"/>
        <v>0</v>
      </c>
      <c r="E346" s="6">
        <f>IF($E$293=9,1,IF($E$293&lt;&gt;9,0))</f>
        <v>0</v>
      </c>
      <c r="F346" s="6">
        <f t="shared" si="39"/>
        <v>0</v>
      </c>
      <c r="G346" s="6">
        <f t="shared" si="40"/>
        <v>0</v>
      </c>
    </row>
    <row r="347" spans="1:7" s="6" customFormat="1" hidden="1" x14ac:dyDescent="0.25">
      <c r="A347" s="6">
        <v>780591</v>
      </c>
      <c r="B347" s="6" t="str">
        <f>VLOOKUP(A347,SAP!$1:$1048576,2,FALSE)</f>
        <v>Klamka R-line/klucz100Nm37mm200R07.2ALV</v>
      </c>
      <c r="C347" s="6">
        <f t="shared" si="37"/>
        <v>0</v>
      </c>
      <c r="D347" s="6">
        <f t="shared" si="43"/>
        <v>0</v>
      </c>
      <c r="E347" s="6">
        <f>IF($E$293=10,1,IF($E$293&lt;&gt;10,0))</f>
        <v>0</v>
      </c>
      <c r="F347" s="6">
        <f t="shared" si="39"/>
        <v>0</v>
      </c>
      <c r="G347" s="6">
        <f t="shared" si="40"/>
        <v>0</v>
      </c>
    </row>
    <row r="348" spans="1:7" s="6" customFormat="1" hidden="1" x14ac:dyDescent="0.25">
      <c r="A348" s="6">
        <v>780592</v>
      </c>
      <c r="B348" s="6" t="str">
        <f>VLOOKUP(A348,SAP!$1:$1048576,2,FALSE)</f>
        <v>Klamka R-line/klucz100Nm37mm200R07.3ALV</v>
      </c>
      <c r="C348" s="6">
        <f t="shared" si="37"/>
        <v>0</v>
      </c>
      <c r="D348" s="6">
        <f t="shared" si="43"/>
        <v>0</v>
      </c>
      <c r="E348" s="6">
        <f>IF($E$293=11,1,IF($E$293&lt;&gt;11,0))</f>
        <v>0</v>
      </c>
      <c r="F348" s="6">
        <f t="shared" si="39"/>
        <v>0</v>
      </c>
      <c r="G348" s="6">
        <f t="shared" si="40"/>
        <v>0</v>
      </c>
    </row>
    <row r="349" spans="1:7" s="6" customFormat="1" hidden="1" x14ac:dyDescent="0.25">
      <c r="A349" s="6">
        <v>780593</v>
      </c>
      <c r="B349" s="6" t="str">
        <f>VLOOKUP(A349,SAP!$1:$1048576,2,FALSE)</f>
        <v>Klamka R-line/klucz100Nm43mm200R01.1ALV</v>
      </c>
      <c r="C349" s="6">
        <f t="shared" si="37"/>
        <v>0</v>
      </c>
      <c r="D349" s="6">
        <f>IF($D$293=3,1,IF($D$293&lt;&gt;3,0))</f>
        <v>1</v>
      </c>
      <c r="E349" s="6">
        <f>IF($E$293=1,1,IF($E$293&lt;&gt;1,0))</f>
        <v>0</v>
      </c>
      <c r="F349" s="6">
        <f t="shared" si="39"/>
        <v>0</v>
      </c>
      <c r="G349" s="6">
        <f t="shared" si="40"/>
        <v>0</v>
      </c>
    </row>
    <row r="350" spans="1:7" s="6" customFormat="1" hidden="1" x14ac:dyDescent="0.25">
      <c r="A350" s="6">
        <v>786730</v>
      </c>
      <c r="B350" s="6" t="str">
        <f>VLOOKUP(A350,SAP!$1:$1048576,2,FALSE)</f>
        <v>Klamka R-line/klucz100Nm43mm200R01.2ALV</v>
      </c>
      <c r="C350" s="6">
        <f t="shared" si="37"/>
        <v>0</v>
      </c>
      <c r="D350" s="6">
        <f t="shared" ref="D350:D359" si="46">IF($D$293=3,1,IF($D$293&lt;&gt;3,0))</f>
        <v>1</v>
      </c>
      <c r="E350" s="6">
        <f>IF($E$293=2,1,IF($E$293&lt;&gt;2,0))</f>
        <v>0</v>
      </c>
      <c r="F350" s="6">
        <f t="shared" si="39"/>
        <v>0</v>
      </c>
      <c r="G350" s="6">
        <f t="shared" si="40"/>
        <v>0</v>
      </c>
    </row>
    <row r="351" spans="1:7" s="6" customFormat="1" hidden="1" x14ac:dyDescent="0.25">
      <c r="A351" s="6">
        <v>780594</v>
      </c>
      <c r="B351" s="6" t="str">
        <f>VLOOKUP(A351,SAP!$1:$1048576,2,FALSE)</f>
        <v>Klamka R-line/klucz100Nm43mm200R01.3ALV</v>
      </c>
      <c r="C351" s="6">
        <f t="shared" si="37"/>
        <v>0</v>
      </c>
      <c r="D351" s="6">
        <f t="shared" si="46"/>
        <v>1</v>
      </c>
      <c r="E351" s="6">
        <f>IF($E$293=3,1,IF($E$293&lt;&gt;3,0))</f>
        <v>0</v>
      </c>
      <c r="F351" s="6">
        <f t="shared" si="39"/>
        <v>0</v>
      </c>
      <c r="G351" s="6">
        <f t="shared" si="40"/>
        <v>0</v>
      </c>
    </row>
    <row r="352" spans="1:7" s="6" customFormat="1" hidden="1" x14ac:dyDescent="0.25">
      <c r="A352" s="6">
        <v>786755</v>
      </c>
      <c r="B352" s="6" t="str">
        <f>VLOOKUP(A352,SAP!$1:$1048576,2,FALSE)</f>
        <v>Klamka R-line/klucz100Nm43mm200R01.5ALV</v>
      </c>
      <c r="C352" s="6">
        <f t="shared" si="37"/>
        <v>0</v>
      </c>
      <c r="D352" s="6">
        <f t="shared" si="46"/>
        <v>1</v>
      </c>
      <c r="E352" s="6">
        <f>IF($E$293=4,1,IF($E$293&lt;&gt;4,0))</f>
        <v>0</v>
      </c>
      <c r="F352" s="6">
        <f t="shared" si="39"/>
        <v>0</v>
      </c>
      <c r="G352" s="6">
        <f t="shared" si="40"/>
        <v>0</v>
      </c>
    </row>
    <row r="353" spans="1:7" s="6" customFormat="1" hidden="1" x14ac:dyDescent="0.25">
      <c r="A353" s="37">
        <v>820798</v>
      </c>
      <c r="B353" s="6" t="str">
        <f>VLOOKUP(A353,SAP!$1:$1048576,2,FALSE)</f>
        <v>Klamka R-line/klucz100Nm43mm200R02.2ALV</v>
      </c>
      <c r="C353" s="6">
        <f t="shared" si="37"/>
        <v>0</v>
      </c>
      <c r="D353" s="6">
        <f t="shared" si="46"/>
        <v>1</v>
      </c>
      <c r="E353" s="6">
        <f>IF($E$293=5,1,IF($E$293&lt;&gt;5,0))</f>
        <v>1</v>
      </c>
      <c r="F353" s="6">
        <f t="shared" ref="F353" si="47">C353*D353*E353</f>
        <v>0</v>
      </c>
      <c r="G353" s="6">
        <f t="shared" ref="G353" si="48">F353*A353</f>
        <v>0</v>
      </c>
    </row>
    <row r="354" spans="1:7" s="6" customFormat="1" hidden="1" x14ac:dyDescent="0.25">
      <c r="A354" s="6">
        <v>780595</v>
      </c>
      <c r="B354" s="6" t="str">
        <f>VLOOKUP(A354,SAP!$1:$1048576,2,FALSE)</f>
        <v>Klamka R-line/klucz100Nm43mm200R05.3ALV</v>
      </c>
      <c r="C354" s="6">
        <f t="shared" si="37"/>
        <v>0</v>
      </c>
      <c r="D354" s="6">
        <f t="shared" si="46"/>
        <v>1</v>
      </c>
      <c r="E354" s="6">
        <f>IF($E$293=6,1,IF($E$293&lt;&gt;6,0))</f>
        <v>0</v>
      </c>
      <c r="F354" s="6">
        <f t="shared" si="39"/>
        <v>0</v>
      </c>
      <c r="G354" s="6">
        <f t="shared" si="40"/>
        <v>0</v>
      </c>
    </row>
    <row r="355" spans="1:7" s="6" customFormat="1" hidden="1" x14ac:dyDescent="0.25">
      <c r="A355" s="6">
        <v>780596</v>
      </c>
      <c r="B355" s="6" t="str">
        <f>VLOOKUP(A355,SAP!$1:$1048576,2,FALSE)</f>
        <v>Klamka R-line/klucz100Nm43mm200R05.4ALV</v>
      </c>
      <c r="C355" s="6">
        <f t="shared" si="37"/>
        <v>0</v>
      </c>
      <c r="D355" s="6">
        <f t="shared" si="46"/>
        <v>1</v>
      </c>
      <c r="E355" s="6">
        <f>IF($E$293=7,1,IF($E$293&lt;&gt;7,0))</f>
        <v>0</v>
      </c>
      <c r="F355" s="6">
        <f t="shared" si="39"/>
        <v>0</v>
      </c>
      <c r="G355" s="6">
        <f t="shared" si="40"/>
        <v>0</v>
      </c>
    </row>
    <row r="356" spans="1:7" s="6" customFormat="1" hidden="1" x14ac:dyDescent="0.25">
      <c r="A356" s="6">
        <v>780597</v>
      </c>
      <c r="B356" s="6" t="str">
        <f>VLOOKUP(A356,SAP!$1:$1048576,2,FALSE)</f>
        <v>Klamka R-line/klucz100Nm43mm200R05.5ALV</v>
      </c>
      <c r="C356" s="6">
        <f t="shared" si="37"/>
        <v>0</v>
      </c>
      <c r="D356" s="6">
        <f t="shared" si="46"/>
        <v>1</v>
      </c>
      <c r="E356" s="6">
        <f>IF($E$293=8,1,IF($E$293&lt;&gt;8,0))</f>
        <v>0</v>
      </c>
      <c r="F356" s="6">
        <f t="shared" si="39"/>
        <v>0</v>
      </c>
      <c r="G356" s="6">
        <f t="shared" si="40"/>
        <v>0</v>
      </c>
    </row>
    <row r="357" spans="1:7" s="6" customFormat="1" hidden="1" x14ac:dyDescent="0.25">
      <c r="A357" s="6">
        <v>787004</v>
      </c>
      <c r="B357" s="6" t="str">
        <f>VLOOKUP(A357,SAP!$1:$1048576,2,FALSE)</f>
        <v>Klamka R-line/klucz100Nm43mm200R06.2MALV</v>
      </c>
      <c r="C357" s="6">
        <f t="shared" si="37"/>
        <v>0</v>
      </c>
      <c r="D357" s="6">
        <f t="shared" si="46"/>
        <v>1</v>
      </c>
      <c r="E357" s="6">
        <f>IF($E$293=9,1,IF($E$293&lt;&gt;9,0))</f>
        <v>0</v>
      </c>
      <c r="F357" s="6">
        <f t="shared" si="39"/>
        <v>0</v>
      </c>
      <c r="G357" s="6">
        <f t="shared" si="40"/>
        <v>0</v>
      </c>
    </row>
    <row r="358" spans="1:7" s="6" customFormat="1" hidden="1" x14ac:dyDescent="0.25">
      <c r="A358" s="6">
        <v>780598</v>
      </c>
      <c r="B358" s="6" t="str">
        <f>VLOOKUP(A358,SAP!$1:$1048576,2,FALSE)</f>
        <v>Klamka R-line/klucz100Nm43mm200R07.2ALV</v>
      </c>
      <c r="C358" s="6">
        <f t="shared" si="37"/>
        <v>0</v>
      </c>
      <c r="D358" s="6">
        <f t="shared" si="46"/>
        <v>1</v>
      </c>
      <c r="E358" s="6">
        <f>IF($E$293=10,1,IF($E$293&lt;&gt;10,0))</f>
        <v>0</v>
      </c>
      <c r="F358" s="6">
        <f t="shared" si="39"/>
        <v>0</v>
      </c>
      <c r="G358" s="6">
        <f t="shared" si="40"/>
        <v>0</v>
      </c>
    </row>
    <row r="359" spans="1:7" s="6" customFormat="1" hidden="1" x14ac:dyDescent="0.25">
      <c r="A359" s="6">
        <v>780599</v>
      </c>
      <c r="B359" s="6" t="str">
        <f>VLOOKUP(A359,SAP!$1:$1048576,2,FALSE)</f>
        <v>Klamka R-line/klucz100Nm43mm200R07.3ALV</v>
      </c>
      <c r="C359" s="6">
        <f t="shared" si="37"/>
        <v>0</v>
      </c>
      <c r="D359" s="6">
        <f t="shared" si="46"/>
        <v>1</v>
      </c>
      <c r="E359" s="6">
        <f>IF($E$293=11,1,IF($E$293&lt;&gt;11,0))</f>
        <v>0</v>
      </c>
      <c r="F359" s="6">
        <f t="shared" si="39"/>
        <v>0</v>
      </c>
      <c r="G359" s="6">
        <f t="shared" si="40"/>
        <v>0</v>
      </c>
    </row>
    <row r="360" spans="1:7" s="6" customFormat="1" hidden="1" x14ac:dyDescent="0.25">
      <c r="A360" s="6">
        <v>786179</v>
      </c>
      <c r="B360" s="6" t="str">
        <f>VLOOKUP(A360,SAP!$1:$1048576,2,FALSE)</f>
        <v>Klamka R-lineDwustr.nisk100mm200R01.1ALV</v>
      </c>
      <c r="C360" s="6">
        <f>IF($C$293=3,1,IF($C$293&lt;&gt;3,0))</f>
        <v>0</v>
      </c>
      <c r="D360" s="6">
        <f>IF($D$293=4,1,IF($D$293&lt;&gt;4,0))</f>
        <v>0</v>
      </c>
      <c r="E360" s="6">
        <f>IF($E$293=1,1,IF($E$293&lt;&gt;1,0))</f>
        <v>0</v>
      </c>
      <c r="F360" s="6">
        <f>C360*D360*E360</f>
        <v>0</v>
      </c>
      <c r="G360" s="6">
        <f>F360*A360</f>
        <v>0</v>
      </c>
    </row>
    <row r="361" spans="1:7" s="6" customFormat="1" hidden="1" x14ac:dyDescent="0.25">
      <c r="A361" s="6">
        <v>786221</v>
      </c>
      <c r="B361" s="6" t="str">
        <f>VLOOKUP(A361,SAP!$1:$1048576,2,FALSE)</f>
        <v>Klamka R-lineDwustr.nisk100mm200R01.5ALV</v>
      </c>
      <c r="C361" s="6">
        <f t="shared" ref="C361:C377" si="49">IF($C$293=3,1,IF($C$293&lt;&gt;3,0))</f>
        <v>0</v>
      </c>
      <c r="D361" s="6">
        <f t="shared" ref="D361:D368" si="50">IF($D$293=4,1,IF($D$293&lt;&gt;4,0))</f>
        <v>0</v>
      </c>
      <c r="E361" s="6">
        <f>IF($E$293=4,1,IF($E$293&lt;&gt;4,0))</f>
        <v>0</v>
      </c>
      <c r="F361" s="6">
        <f t="shared" ref="F361:F377" si="51">C361*D361*E361</f>
        <v>0</v>
      </c>
      <c r="G361" s="6">
        <f t="shared" ref="G361:G377" si="52">F361*A361</f>
        <v>0</v>
      </c>
    </row>
    <row r="362" spans="1:7" s="6" customFormat="1" hidden="1" x14ac:dyDescent="0.25">
      <c r="A362" s="37">
        <v>820799</v>
      </c>
      <c r="B362" s="6" t="str">
        <f>VLOOKUP(A362,SAP!$1:$1048576,2,FALSE)</f>
        <v>Klamka R-lineDwustr.nisk100mm200R02.2ALV</v>
      </c>
      <c r="C362" s="6">
        <f t="shared" si="49"/>
        <v>0</v>
      </c>
      <c r="D362" s="6">
        <f t="shared" si="50"/>
        <v>0</v>
      </c>
      <c r="E362" s="6">
        <f>IF($E$293=5,1,IF($E$293&lt;&gt;5,0))</f>
        <v>1</v>
      </c>
      <c r="F362" s="6">
        <f t="shared" ref="F362" si="53">C362*D362*E362</f>
        <v>0</v>
      </c>
      <c r="G362" s="6">
        <f t="shared" ref="G362" si="54">F362*A362</f>
        <v>0</v>
      </c>
    </row>
    <row r="363" spans="1:7" s="6" customFormat="1" hidden="1" x14ac:dyDescent="0.25">
      <c r="A363" s="6">
        <v>786180</v>
      </c>
      <c r="B363" s="6" t="str">
        <f>VLOOKUP(A363,SAP!$1:$1048576,2,FALSE)</f>
        <v>Klamka R-lineDwustr.nisk100mm200R05.3ALV</v>
      </c>
      <c r="C363" s="6">
        <f t="shared" si="49"/>
        <v>0</v>
      </c>
      <c r="D363" s="6">
        <f t="shared" si="50"/>
        <v>0</v>
      </c>
      <c r="E363" s="6">
        <f>IF($E$293=6,1,IF($E$293&lt;&gt;6,0))</f>
        <v>0</v>
      </c>
      <c r="F363" s="6">
        <f t="shared" si="51"/>
        <v>0</v>
      </c>
      <c r="G363" s="6">
        <f t="shared" si="52"/>
        <v>0</v>
      </c>
    </row>
    <row r="364" spans="1:7" s="6" customFormat="1" hidden="1" x14ac:dyDescent="0.25">
      <c r="A364" s="6">
        <v>786181</v>
      </c>
      <c r="B364" s="6" t="str">
        <f>VLOOKUP(A364,SAP!$1:$1048576,2,FALSE)</f>
        <v>Klamka R-lineDwustr.nisk100mm200R05.4ALV</v>
      </c>
      <c r="C364" s="6">
        <f t="shared" si="49"/>
        <v>0</v>
      </c>
      <c r="D364" s="6">
        <f t="shared" si="50"/>
        <v>0</v>
      </c>
      <c r="E364" s="6">
        <f>IF($E$293=7,1,IF($E$293&lt;&gt;7,0))</f>
        <v>0</v>
      </c>
      <c r="F364" s="6">
        <f t="shared" si="51"/>
        <v>0</v>
      </c>
      <c r="G364" s="6">
        <f t="shared" si="52"/>
        <v>0</v>
      </c>
    </row>
    <row r="365" spans="1:7" s="6" customFormat="1" hidden="1" x14ac:dyDescent="0.25">
      <c r="A365" s="6">
        <v>786182</v>
      </c>
      <c r="B365" s="6" t="str">
        <f>VLOOKUP(A365,SAP!$1:$1048576,2,FALSE)</f>
        <v>Klamka R-lineDwustr.nisk100mm200R05.5ALV</v>
      </c>
      <c r="C365" s="6">
        <f t="shared" si="49"/>
        <v>0</v>
      </c>
      <c r="D365" s="6">
        <f t="shared" si="50"/>
        <v>0</v>
      </c>
      <c r="E365" s="6">
        <f>IF($E$293=8,1,IF($E$293&lt;&gt;8,0))</f>
        <v>0</v>
      </c>
      <c r="F365" s="6">
        <f t="shared" si="51"/>
        <v>0</v>
      </c>
      <c r="G365" s="6">
        <f t="shared" si="52"/>
        <v>0</v>
      </c>
    </row>
    <row r="366" spans="1:7" s="6" customFormat="1" hidden="1" x14ac:dyDescent="0.25">
      <c r="A366" s="6">
        <v>786222</v>
      </c>
      <c r="B366" s="6" t="str">
        <f>VLOOKUP(A366,SAP!$1:$1048576,2,FALSE)</f>
        <v>Klamka R-lineDwustr.nisk100mm200R06.2ALV</v>
      </c>
      <c r="C366" s="6">
        <f t="shared" si="49"/>
        <v>0</v>
      </c>
      <c r="D366" s="6">
        <f t="shared" si="50"/>
        <v>0</v>
      </c>
      <c r="E366" s="6">
        <f>IF($E$293=9,1,IF($E$293&lt;&gt;9,0))</f>
        <v>0</v>
      </c>
      <c r="F366" s="6">
        <f t="shared" si="51"/>
        <v>0</v>
      </c>
      <c r="G366" s="6">
        <f t="shared" si="52"/>
        <v>0</v>
      </c>
    </row>
    <row r="367" spans="1:7" s="6" customFormat="1" hidden="1" x14ac:dyDescent="0.25">
      <c r="A367" s="6">
        <v>786183</v>
      </c>
      <c r="B367" s="6" t="str">
        <f>VLOOKUP(A367,SAP!$1:$1048576,2,FALSE)</f>
        <v>Klamka R-lineDwustr.nisk100mm200R07.2ALV</v>
      </c>
      <c r="C367" s="6">
        <f t="shared" si="49"/>
        <v>0</v>
      </c>
      <c r="D367" s="6">
        <f t="shared" si="50"/>
        <v>0</v>
      </c>
      <c r="E367" s="6">
        <f>IF($E$293=10,1,IF($E$293&lt;&gt;10,0))</f>
        <v>0</v>
      </c>
      <c r="F367" s="6">
        <f t="shared" si="51"/>
        <v>0</v>
      </c>
      <c r="G367" s="6">
        <f t="shared" si="52"/>
        <v>0</v>
      </c>
    </row>
    <row r="368" spans="1:7" s="6" customFormat="1" hidden="1" x14ac:dyDescent="0.25">
      <c r="A368" s="6">
        <v>786184</v>
      </c>
      <c r="B368" s="6" t="str">
        <f>VLOOKUP(A368,SAP!$1:$1048576,2,FALSE)</f>
        <v>Klamka R-lineDwustr.nisk100mm200R07.3ALV</v>
      </c>
      <c r="C368" s="6">
        <f t="shared" si="49"/>
        <v>0</v>
      </c>
      <c r="D368" s="6">
        <f t="shared" si="50"/>
        <v>0</v>
      </c>
      <c r="E368" s="6">
        <f>IF($E$293=11,1,IF($E$293&lt;&gt;11,0))</f>
        <v>0</v>
      </c>
      <c r="F368" s="6">
        <f t="shared" si="51"/>
        <v>0</v>
      </c>
      <c r="G368" s="6">
        <f t="shared" si="52"/>
        <v>0</v>
      </c>
    </row>
    <row r="369" spans="1:7" s="6" customFormat="1" hidden="1" x14ac:dyDescent="0.25">
      <c r="A369" s="6">
        <v>786225</v>
      </c>
      <c r="B369" s="6" t="str">
        <f>VLOOKUP(A369,SAP!$1:$1048576,2,FALSE)</f>
        <v>Klamka R-lineDwustr.nisk135mm200R01.1ALV</v>
      </c>
      <c r="C369" s="6">
        <f t="shared" si="49"/>
        <v>0</v>
      </c>
      <c r="D369" s="6">
        <f>IF($D$293=5,1,IF($D$293&lt;&gt;5,0))</f>
        <v>0</v>
      </c>
      <c r="E369" s="6">
        <f>IF($E$293=1,1,IF($E$293&lt;&gt;1,0))</f>
        <v>0</v>
      </c>
      <c r="F369" s="6">
        <f t="shared" si="51"/>
        <v>0</v>
      </c>
      <c r="G369" s="6">
        <f t="shared" si="52"/>
        <v>0</v>
      </c>
    </row>
    <row r="370" spans="1:7" s="6" customFormat="1" hidden="1" x14ac:dyDescent="0.25">
      <c r="A370" s="6">
        <v>786220</v>
      </c>
      <c r="B370" s="6" t="str">
        <f>VLOOKUP(A370,SAP!$1:$1048576,2,FALSE)</f>
        <v>Klamka R-lineDwustr.nisk135mm200R01.5ALV</v>
      </c>
      <c r="C370" s="6">
        <f t="shared" si="49"/>
        <v>0</v>
      </c>
      <c r="D370" s="6">
        <f t="shared" ref="D370:D377" si="55">IF($D$293=5,1,IF($D$293&lt;&gt;5,0))</f>
        <v>0</v>
      </c>
      <c r="E370" s="6">
        <f>IF($E$293=4,1,IF($E$293&lt;&gt;4,0))</f>
        <v>0</v>
      </c>
      <c r="F370" s="6">
        <f t="shared" si="51"/>
        <v>0</v>
      </c>
      <c r="G370" s="6">
        <f t="shared" si="52"/>
        <v>0</v>
      </c>
    </row>
    <row r="371" spans="1:7" s="6" customFormat="1" hidden="1" x14ac:dyDescent="0.25">
      <c r="A371" s="6">
        <v>0</v>
      </c>
      <c r="B371" s="6" t="str">
        <f>VLOOKUP(A371,SAP!$1:$1048576,2,FALSE)</f>
        <v>__</v>
      </c>
      <c r="C371" s="6">
        <f t="shared" si="49"/>
        <v>0</v>
      </c>
      <c r="D371" s="6">
        <f t="shared" si="55"/>
        <v>0</v>
      </c>
      <c r="E371" s="6">
        <f>IF($E$293=5,1,IF($E$293&lt;&gt;5,0))</f>
        <v>1</v>
      </c>
      <c r="F371" s="6">
        <f t="shared" ref="F371" si="56">C371*D371*E371</f>
        <v>0</v>
      </c>
      <c r="G371" s="6">
        <f t="shared" ref="G371" si="57">F371*A371</f>
        <v>0</v>
      </c>
    </row>
    <row r="372" spans="1:7" s="6" customFormat="1" hidden="1" x14ac:dyDescent="0.25">
      <c r="A372" s="6">
        <v>786226</v>
      </c>
      <c r="B372" s="6" t="str">
        <f>VLOOKUP(A372,SAP!$1:$1048576,2,FALSE)</f>
        <v>Klamka R-lineDwustr.nisk135mm200R05.3ALV</v>
      </c>
      <c r="C372" s="6">
        <f t="shared" si="49"/>
        <v>0</v>
      </c>
      <c r="D372" s="6">
        <f t="shared" si="55"/>
        <v>0</v>
      </c>
      <c r="E372" s="6">
        <f>IF($E$293=6,1,IF($E$293&lt;&gt;6,0))</f>
        <v>0</v>
      </c>
      <c r="F372" s="6">
        <f t="shared" si="51"/>
        <v>0</v>
      </c>
      <c r="G372" s="6">
        <f t="shared" si="52"/>
        <v>0</v>
      </c>
    </row>
    <row r="373" spans="1:7" s="6" customFormat="1" hidden="1" x14ac:dyDescent="0.25">
      <c r="A373" s="6">
        <v>786227</v>
      </c>
      <c r="B373" s="6" t="str">
        <f>VLOOKUP(A373,SAP!$1:$1048576,2,FALSE)</f>
        <v>Klamka R-lineDwustr.nisk135mm200R05.4ALV</v>
      </c>
      <c r="C373" s="6">
        <f t="shared" si="49"/>
        <v>0</v>
      </c>
      <c r="D373" s="6">
        <f t="shared" si="55"/>
        <v>0</v>
      </c>
      <c r="E373" s="6">
        <f>IF($E$293=7,1,IF($E$293&lt;&gt;7,0))</f>
        <v>0</v>
      </c>
      <c r="F373" s="6">
        <f t="shared" si="51"/>
        <v>0</v>
      </c>
      <c r="G373" s="6">
        <f t="shared" si="52"/>
        <v>0</v>
      </c>
    </row>
    <row r="374" spans="1:7" s="6" customFormat="1" hidden="1" x14ac:dyDescent="0.25">
      <c r="A374" s="6">
        <v>786228</v>
      </c>
      <c r="B374" s="6" t="str">
        <f>VLOOKUP(A374,SAP!$1:$1048576,2,FALSE)</f>
        <v>Klamka R-lineDwustr.nisk135mm200R05.5ALV</v>
      </c>
      <c r="C374" s="6">
        <f t="shared" si="49"/>
        <v>0</v>
      </c>
      <c r="D374" s="6">
        <f t="shared" si="55"/>
        <v>0</v>
      </c>
      <c r="E374" s="6">
        <f>IF($E$293=8,1,IF($E$293&lt;&gt;8,0))</f>
        <v>0</v>
      </c>
      <c r="F374" s="6">
        <f t="shared" si="51"/>
        <v>0</v>
      </c>
      <c r="G374" s="6">
        <f t="shared" si="52"/>
        <v>0</v>
      </c>
    </row>
    <row r="375" spans="1:7" s="6" customFormat="1" hidden="1" x14ac:dyDescent="0.25">
      <c r="A375" s="6">
        <v>786229</v>
      </c>
      <c r="B375" s="6" t="str">
        <f>VLOOKUP(A375,SAP!$1:$1048576,2,FALSE)</f>
        <v>Klamka R-lineDwustr.nisk135mm200R06.2ALV</v>
      </c>
      <c r="C375" s="6">
        <f t="shared" si="49"/>
        <v>0</v>
      </c>
      <c r="D375" s="6">
        <f t="shared" si="55"/>
        <v>0</v>
      </c>
      <c r="E375" s="6">
        <f>IF($E$293=9,1,IF($E$293&lt;&gt;9,0))</f>
        <v>0</v>
      </c>
      <c r="F375" s="6">
        <f t="shared" si="51"/>
        <v>0</v>
      </c>
      <c r="G375" s="6">
        <f t="shared" si="52"/>
        <v>0</v>
      </c>
    </row>
    <row r="376" spans="1:7" s="6" customFormat="1" hidden="1" x14ac:dyDescent="0.25">
      <c r="A376" s="6">
        <v>786230</v>
      </c>
      <c r="B376" s="6" t="str">
        <f>VLOOKUP(A376,SAP!$1:$1048576,2,FALSE)</f>
        <v>Klamka R-lineDwustr.nisk135mm200R07.2ALV</v>
      </c>
      <c r="C376" s="6">
        <f t="shared" si="49"/>
        <v>0</v>
      </c>
      <c r="D376" s="6">
        <f t="shared" si="55"/>
        <v>0</v>
      </c>
      <c r="E376" s="6">
        <f>IF($E$293=10,1,IF($E$293&lt;&gt;10,0))</f>
        <v>0</v>
      </c>
      <c r="F376" s="6">
        <f t="shared" si="51"/>
        <v>0</v>
      </c>
      <c r="G376" s="6">
        <f t="shared" si="52"/>
        <v>0</v>
      </c>
    </row>
    <row r="377" spans="1:7" s="6" customFormat="1" hidden="1" x14ac:dyDescent="0.25">
      <c r="A377" s="6">
        <v>786219</v>
      </c>
      <c r="B377" s="6" t="str">
        <f>VLOOKUP(A377,SAP!$1:$1048576,2,FALSE)</f>
        <v>Klamka R-lineDwustr.nisk135mm200R07.3ALV</v>
      </c>
      <c r="C377" s="6">
        <f t="shared" si="49"/>
        <v>0</v>
      </c>
      <c r="D377" s="6">
        <f t="shared" si="55"/>
        <v>0</v>
      </c>
      <c r="E377" s="6">
        <f>IF($E$293=11,1,IF($E$293&lt;&gt;11,0))</f>
        <v>0</v>
      </c>
      <c r="F377" s="6">
        <f t="shared" si="51"/>
        <v>0</v>
      </c>
      <c r="G377" s="6">
        <f t="shared" si="52"/>
        <v>0</v>
      </c>
    </row>
    <row r="378" spans="1:7" s="6" customFormat="1" hidden="1" x14ac:dyDescent="0.25">
      <c r="G378" s="32">
        <f>SUM(G294:G377)</f>
        <v>820797</v>
      </c>
    </row>
    <row r="379" spans="1:7" s="6" customFormat="1" hidden="1" x14ac:dyDescent="0.25"/>
    <row r="380" spans="1:7" s="6" customFormat="1" hidden="1" x14ac:dyDescent="0.25">
      <c r="A380" s="6">
        <v>494472</v>
      </c>
      <c r="B380" s="6" t="str">
        <f>VLOOKUP(A380,SAP!$1:$1048576,2,FALSE)</f>
        <v>Pochwyt zlicowany PatioLife 43mm R01.1</v>
      </c>
      <c r="C380" s="8">
        <f>H79</f>
        <v>1</v>
      </c>
      <c r="D380" s="8">
        <f>IF(C380=1,0,IF(C380=2,A380,IF(C380=3,A381,IF(C380=4,A382,IF(C380=5,A383,IF(C380=6,A384,IF(C380=7,A385)))))))</f>
        <v>0</v>
      </c>
    </row>
    <row r="381" spans="1:7" s="6" customFormat="1" hidden="1" x14ac:dyDescent="0.25">
      <c r="A381" s="6">
        <v>623221</v>
      </c>
      <c r="B381" s="6" t="str">
        <f>VLOOKUP(A381,SAP!$1:$1048576,2,FALSE)</f>
        <v>Pochwyt zlicowany PatioLife 43mm R01.3</v>
      </c>
    </row>
    <row r="382" spans="1:7" s="6" customFormat="1" hidden="1" x14ac:dyDescent="0.25">
      <c r="A382" s="6">
        <v>494473</v>
      </c>
      <c r="B382" s="6" t="str">
        <f>VLOOKUP(A382,SAP!$1:$1048576,2,FALSE)</f>
        <v>Pochwyt zlicowany PatioLife 43mm R05.3</v>
      </c>
    </row>
    <row r="383" spans="1:7" s="6" customFormat="1" hidden="1" x14ac:dyDescent="0.25">
      <c r="A383" s="6">
        <v>614625</v>
      </c>
      <c r="B383" s="6" t="str">
        <f>VLOOKUP(A383,SAP!$1:$1048576,2,FALSE)</f>
        <v>Pochwyt zlicowany PatioLife 43mm R05.5</v>
      </c>
    </row>
    <row r="384" spans="1:7" s="6" customFormat="1" hidden="1" x14ac:dyDescent="0.25">
      <c r="A384" s="6">
        <v>494474</v>
      </c>
      <c r="B384" s="6" t="str">
        <f>VLOOKUP(A384,SAP!$1:$1048576,2,FALSE)</f>
        <v>Pochwyt zlicowany PatioLife 43mm R07.2</v>
      </c>
    </row>
    <row r="385" spans="1:3" s="6" customFormat="1" hidden="1" x14ac:dyDescent="0.25">
      <c r="A385" s="6">
        <v>605551</v>
      </c>
      <c r="B385" s="6" t="str">
        <f>VLOOKUP(A385,SAP!1:1048576,2,FALSE)</f>
        <v>Pochwyt zew. 43MM R06.2 IS</v>
      </c>
    </row>
    <row r="386" spans="1:3" s="6" customFormat="1" hidden="1" x14ac:dyDescent="0.25">
      <c r="A386" s="6">
        <v>817180</v>
      </c>
      <c r="B386" s="6" t="str">
        <f>VLOOKUP(A386,SAP!1:1048576,2,FALSE)</f>
        <v>Zestaw śrub M5X70 (2szt.)</v>
      </c>
    </row>
    <row r="387" spans="1:3" s="6" customFormat="1" hidden="1" x14ac:dyDescent="0.25"/>
    <row r="388" spans="1:3" s="6" customFormat="1" hidden="1" x14ac:dyDescent="0.25">
      <c r="B388" s="107" t="s">
        <v>1205</v>
      </c>
      <c r="C388" s="6" t="str">
        <f>SAP!A101</f>
        <v>brak</v>
      </c>
    </row>
    <row r="389" spans="1:3" s="6" customFormat="1" hidden="1" x14ac:dyDescent="0.25">
      <c r="A389" s="6">
        <v>820028</v>
      </c>
      <c r="B389" s="6" t="str">
        <f>VLOOKUP(A389,SAP!A177:G502,2,0)</f>
        <v>Pochwyt zlicowany 43mm R01.1 PIN</v>
      </c>
      <c r="C389" s="6" t="str">
        <f>SAP!A89</f>
        <v>R01.1 Naturalny srebrny</v>
      </c>
    </row>
    <row r="390" spans="1:3" s="6" customFormat="1" hidden="1" x14ac:dyDescent="0.25">
      <c r="A390" s="6">
        <v>820029</v>
      </c>
      <c r="B390" s="6" t="str">
        <f>VLOOKUP(A390,SAP!A178:G503,2,0)</f>
        <v>Pochwyt zlicowany 43mm R01.2 PIN</v>
      </c>
      <c r="C390" s="6" t="str">
        <f>SAP!A90</f>
        <v>R01.2 Nowy srebrny</v>
      </c>
    </row>
    <row r="391" spans="1:3" s="6" customFormat="1" hidden="1" x14ac:dyDescent="0.25">
      <c r="A391" s="6">
        <v>820030</v>
      </c>
      <c r="B391" s="6" t="str">
        <f>VLOOKUP(A391,SAP!A179:G504,2,0)</f>
        <v>Pochwyt zlicowany 43mm R01.3 PIN</v>
      </c>
      <c r="C391" s="6" t="str">
        <f>SAP!A91</f>
        <v>R01.3 Tytan</v>
      </c>
    </row>
    <row r="392" spans="1:3" s="6" customFormat="1" hidden="1" x14ac:dyDescent="0.25">
      <c r="A392" s="6">
        <v>820031</v>
      </c>
      <c r="B392" s="6" t="str">
        <f>VLOOKUP(A392,SAP!A180:G505,2,0)</f>
        <v>Pochwyt zlicowany 43mm R01.5 PIN</v>
      </c>
      <c r="C392" s="6" t="str">
        <f>SAP!A92</f>
        <v>R01.5 Srebrny</v>
      </c>
    </row>
    <row r="393" spans="1:3" s="6" customFormat="1" hidden="1" x14ac:dyDescent="0.25">
      <c r="A393" s="6">
        <v>820032</v>
      </c>
      <c r="B393" s="6" t="str">
        <f>VLOOKUP(A393,SAP!A181:G506,2,0)</f>
        <v>Pochwyt zlicowany 43mm R02.2 PIN</v>
      </c>
      <c r="C393" s="6" t="str">
        <f>SAP!A93</f>
        <v>R02.2 Antracyt</v>
      </c>
    </row>
    <row r="394" spans="1:3" s="6" customFormat="1" hidden="1" x14ac:dyDescent="0.25">
      <c r="A394" s="6">
        <v>820033</v>
      </c>
      <c r="B394" s="6" t="str">
        <f>VLOOKUP(A394,SAP!A182:G507,2,0)</f>
        <v>Pochwyt zlicowany 43mm R05.3 PIN</v>
      </c>
      <c r="C394" s="6" t="str">
        <f>SAP!A94</f>
        <v>R05.3 Średni brąz</v>
      </c>
    </row>
    <row r="395" spans="1:3" s="6" customFormat="1" hidden="1" x14ac:dyDescent="0.25">
      <c r="A395" s="6">
        <v>820034</v>
      </c>
      <c r="B395" s="6" t="str">
        <f>VLOOKUP(A395,SAP!A183:G508,2,0)</f>
        <v>Pochwyt zlicowany 43mm R05.4 PIN</v>
      </c>
      <c r="C395" s="6" t="str">
        <f>SAP!A95</f>
        <v>R05.4 Ciemny brąz</v>
      </c>
    </row>
    <row r="396" spans="1:3" s="6" customFormat="1" hidden="1" x14ac:dyDescent="0.25">
      <c r="A396" s="6">
        <v>820055</v>
      </c>
      <c r="B396" s="6" t="str">
        <f>VLOOKUP(A396,SAP!A184:G509,2,0)</f>
        <v>Pochwyt zlicowany 43mm R05.5 PIN</v>
      </c>
      <c r="C396" s="6" t="str">
        <f>SAP!A96</f>
        <v>R05.5 Brązowy</v>
      </c>
    </row>
    <row r="397" spans="1:3" s="6" customFormat="1" hidden="1" x14ac:dyDescent="0.25">
      <c r="A397" s="6">
        <v>820070</v>
      </c>
      <c r="B397" s="6" t="str">
        <f>VLOOKUP(A397,SAP!A185:G510,2,0)</f>
        <v>Pochwyt zlicowany 43mm R06.2M PIN</v>
      </c>
      <c r="C397" s="6" t="str">
        <f>SAP!A97</f>
        <v>R06.2M Czarny Mat</v>
      </c>
    </row>
    <row r="398" spans="1:3" s="6" customFormat="1" hidden="1" x14ac:dyDescent="0.25">
      <c r="A398" s="6">
        <v>820057</v>
      </c>
      <c r="B398" s="6" t="str">
        <f>VLOOKUP(A398,SAP!A186:G511,2,0)</f>
        <v>Pochwyt zlicowany 43mm R07.2 PIN</v>
      </c>
      <c r="C398" s="6" t="str">
        <f>SAP!A98</f>
        <v>R07.2 Biały</v>
      </c>
    </row>
    <row r="399" spans="1:3" s="6" customFormat="1" hidden="1" x14ac:dyDescent="0.25">
      <c r="A399" s="6">
        <v>820058</v>
      </c>
      <c r="B399" s="6" t="str">
        <f>VLOOKUP(A399,SAP!A187:G512,2,0)</f>
        <v>Pochwyt zlicowany 43mm R07.3 PIN</v>
      </c>
      <c r="C399" s="6" t="str">
        <f>SAP!A99</f>
        <v>R07.3 Kremowy</v>
      </c>
    </row>
    <row r="400" spans="1:3" s="6" customFormat="1" hidden="1" x14ac:dyDescent="0.25">
      <c r="A400" s="6">
        <v>820059</v>
      </c>
      <c r="B400" s="6" t="str">
        <f>VLOOKUP(A400,SAP!A188:G513,2,0)</f>
        <v>Pochwyt zlicowany 43mm surowy PIN</v>
      </c>
      <c r="C400" s="6" t="str">
        <f>SAP!A100</f>
        <v>surowy</v>
      </c>
    </row>
    <row r="401" spans="1:5" s="6" customFormat="1" hidden="1" x14ac:dyDescent="0.25">
      <c r="C401" s="106">
        <v>1</v>
      </c>
      <c r="D401" s="8">
        <f>IF(C401=1,0,IF(C401=2,A389,IF(C401=3,A390,IF(C401=4,A391,IF(C401=5,A392,IF(C401=6,A393,IF(C401=7,A394,IF(C401=8,A395,IF(C401=9,A396,IF(C401=10,A397,IF(C401=11,A398,IF(C401=12,A399,IF(C401=13,A400)))))))))))))</f>
        <v>0</v>
      </c>
    </row>
    <row r="402" spans="1:5" s="6" customFormat="1" hidden="1" x14ac:dyDescent="0.25"/>
    <row r="403" spans="1:5" s="6" customFormat="1" hidden="1" x14ac:dyDescent="0.25">
      <c r="A403" s="6">
        <v>350401</v>
      </c>
      <c r="B403" s="6" t="str">
        <f>VLOOKUP(A403,SAP!A169:G496,2,0)</f>
        <v>Nakładka naprawcza-łącznik okuć NT</v>
      </c>
      <c r="C403" s="11" t="b">
        <v>0</v>
      </c>
      <c r="D403" s="6">
        <f>IF(C403=TRUE,A403,0)</f>
        <v>0</v>
      </c>
    </row>
    <row r="404" spans="1:5" s="6" customFormat="1" hidden="1" x14ac:dyDescent="0.25"/>
    <row r="405" spans="1:5" s="6" customFormat="1" hidden="1" x14ac:dyDescent="0.25"/>
    <row r="406" spans="1:5" s="6" customFormat="1" hidden="1" x14ac:dyDescent="0.25"/>
    <row r="407" spans="1:5" s="6" customFormat="1" hidden="1" x14ac:dyDescent="0.25">
      <c r="A407" s="5"/>
      <c r="B407" s="5"/>
      <c r="C407" s="5"/>
      <c r="D407" s="5"/>
      <c r="E407" s="5"/>
    </row>
  </sheetData>
  <sheetProtection password="DD29" sheet="1" objects="1" scenarios="1"/>
  <conditionalFormatting sqref="B39">
    <cfRule type="containsText" dxfId="25" priority="1" operator="containsText" text="DOBÓR NIEMOŻLIWY">
      <formula>NOT(ISERROR(SEARCH("DOBÓR NIEMOŻLIWY",B39)))</formula>
    </cfRule>
  </conditionalFormatting>
  <hyperlinks>
    <hyperlink ref="A5" location="'Schemat A'!A1" display="Schemat A"/>
    <hyperlink ref="A6" location="'Schemat A′'!A1" display="Schemat A'"/>
    <hyperlink ref="A7" location="'Schemat C'!A1" display="Schemat C"/>
    <hyperlink ref="A8" location="'Schemat C′'!A1" display="Schemat C'"/>
    <hyperlink ref="A9" location="'Schemat K'!A1" display="Schemat K"/>
    <hyperlink ref="A10" location="'Schemat K′'!A1" display="Schemat K'"/>
    <hyperlink ref="D1" location="'Schemat A'!A1" display="Powrót "/>
    <hyperlink ref="B67" location="Szablony!A1" display="Zamówienie szablonów"/>
  </hyperlinks>
  <pageMargins left="0.7" right="0.7" top="0.75" bottom="0.75" header="0.3" footer="0.3"/>
  <pageSetup paperSize="9" scale="77" orientation="portrait" r:id="rId1"/>
  <ignoredErrors>
    <ignoredError sqref="C6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1" r:id="rId4" name="List Box 9">
              <controlPr defaultSize="0" autoLine="0" autoPict="0">
                <anchor moveWithCells="1">
                  <from>
                    <xdr:col>0</xdr:col>
                    <xdr:colOff>9525</xdr:colOff>
                    <xdr:row>19</xdr:row>
                    <xdr:rowOff>19050</xdr:rowOff>
                  </from>
                  <to>
                    <xdr:col>1</xdr:col>
                    <xdr:colOff>733425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5" name="List Box 10">
              <controlPr defaultSize="0" autoLine="0" autoPict="0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1</xdr:col>
                    <xdr:colOff>1895475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6" name="List Box 11">
              <controlPr defaultSize="0" autoLine="0" autoPict="0">
                <anchor moveWithCells="1">
                  <from>
                    <xdr:col>1</xdr:col>
                    <xdr:colOff>2809875</xdr:colOff>
                    <xdr:row>19</xdr:row>
                    <xdr:rowOff>19050</xdr:rowOff>
                  </from>
                  <to>
                    <xdr:col>2</xdr:col>
                    <xdr:colOff>847725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7" name="List Box 12">
              <controlPr defaultSize="0" autoLine="0" autoPict="0">
                <anchor moveWithCells="1">
                  <from>
                    <xdr:col>1</xdr:col>
                    <xdr:colOff>3438525</xdr:colOff>
                    <xdr:row>4</xdr:row>
                    <xdr:rowOff>0</xdr:rowOff>
                  </from>
                  <to>
                    <xdr:col>2</xdr:col>
                    <xdr:colOff>847725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8" name="List Box 13">
              <controlPr defaultSize="0" autoLine="0" autoPict="0">
                <anchor moveWithCells="1">
                  <from>
                    <xdr:col>0</xdr:col>
                    <xdr:colOff>28575</xdr:colOff>
                    <xdr:row>25</xdr:row>
                    <xdr:rowOff>200025</xdr:rowOff>
                  </from>
                  <to>
                    <xdr:col>1</xdr:col>
                    <xdr:colOff>733425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9" name="List Box 14">
              <controlPr defaultSize="0" autoLine="0" autoPict="0">
                <anchor moveWithCells="1">
                  <from>
                    <xdr:col>1</xdr:col>
                    <xdr:colOff>2800350</xdr:colOff>
                    <xdr:row>26</xdr:row>
                    <xdr:rowOff>0</xdr:rowOff>
                  </from>
                  <to>
                    <xdr:col>2</xdr:col>
                    <xdr:colOff>828675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0" name="Drop Down 15">
              <controlPr defaultSize="0" autoLine="0" autoPict="0">
                <anchor moveWithCells="1">
                  <from>
                    <xdr:col>0</xdr:col>
                    <xdr:colOff>28575</xdr:colOff>
                    <xdr:row>32</xdr:row>
                    <xdr:rowOff>9525</xdr:rowOff>
                  </from>
                  <to>
                    <xdr:col>1</xdr:col>
                    <xdr:colOff>723900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1" name="Drop Down 16">
              <controlPr defaultSize="0" autoLine="0" autoPict="0">
                <anchor moveWithCells="1">
                  <from>
                    <xdr:col>0</xdr:col>
                    <xdr:colOff>9525</xdr:colOff>
                    <xdr:row>29</xdr:row>
                    <xdr:rowOff>200025</xdr:rowOff>
                  </from>
                  <to>
                    <xdr:col>1</xdr:col>
                    <xdr:colOff>714375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2" name="List Box 17">
              <controlPr defaultSize="0" autoLine="0" autoPict="0">
                <anchor moveWithCells="1">
                  <from>
                    <xdr:col>1</xdr:col>
                    <xdr:colOff>3438525</xdr:colOff>
                    <xdr:row>4</xdr:row>
                    <xdr:rowOff>0</xdr:rowOff>
                  </from>
                  <to>
                    <xdr:col>2</xdr:col>
                    <xdr:colOff>847725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3" name="Drop Down 18">
              <controlPr defaultSize="0" autoLine="0" autoPict="0">
                <anchor moveWithCells="1">
                  <from>
                    <xdr:col>1</xdr:col>
                    <xdr:colOff>3495675</xdr:colOff>
                    <xdr:row>23</xdr:row>
                    <xdr:rowOff>114300</xdr:rowOff>
                  </from>
                  <to>
                    <xdr:col>2</xdr:col>
                    <xdr:colOff>857250</xdr:colOff>
                    <xdr:row>24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4" name="List Box 21">
              <controlPr defaultSize="0" autoLine="0" autoPict="0">
                <anchor moveWithCells="1">
                  <from>
                    <xdr:col>3</xdr:col>
                    <xdr:colOff>323850</xdr:colOff>
                    <xdr:row>1</xdr:row>
                    <xdr:rowOff>57150</xdr:rowOff>
                  </from>
                  <to>
                    <xdr:col>3</xdr:col>
                    <xdr:colOff>714375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5" name="Check Box 22">
              <controlPr defaultSize="0" autoFill="0" autoLine="0" autoPict="0">
                <anchor moveWithCells="1">
                  <from>
                    <xdr:col>1</xdr:col>
                    <xdr:colOff>714375</xdr:colOff>
                    <xdr:row>34</xdr:row>
                    <xdr:rowOff>9525</xdr:rowOff>
                  </from>
                  <to>
                    <xdr:col>1</xdr:col>
                    <xdr:colOff>2371725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90"/>
  <sheetViews>
    <sheetView showGridLines="0" zoomScale="80" zoomScaleNormal="80" workbookViewId="0">
      <selection activeCell="C13" sqref="C13"/>
    </sheetView>
  </sheetViews>
  <sheetFormatPr defaultRowHeight="15" x14ac:dyDescent="0.25"/>
  <cols>
    <col min="1" max="1" width="19.7109375" style="37" customWidth="1"/>
    <col min="2" max="2" width="52.5703125" style="37" customWidth="1"/>
    <col min="3" max="3" width="12.85546875" style="37" customWidth="1"/>
    <col min="4" max="4" width="15.5703125" style="37" bestFit="1" customWidth="1"/>
    <col min="5" max="5" width="9.85546875" style="37" bestFit="1" customWidth="1"/>
    <col min="6" max="6" width="12.7109375" style="37" bestFit="1" customWidth="1"/>
    <col min="7" max="7" width="9.140625" style="37"/>
    <col min="8" max="8" width="14.140625" style="37" bestFit="1" customWidth="1"/>
    <col min="9" max="12" width="9.140625" style="37"/>
    <col min="13" max="13" width="10" style="37" bestFit="1" customWidth="1"/>
    <col min="14" max="16384" width="9.140625" style="37"/>
  </cols>
  <sheetData>
    <row r="1" spans="1:21" x14ac:dyDescent="0.25">
      <c r="A1" s="35"/>
      <c r="B1" s="35"/>
      <c r="C1" s="35"/>
      <c r="D1" s="36" t="str">
        <f>SAP!A32</f>
        <v xml:space="preserve">Powrót 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31.5" x14ac:dyDescent="0.5">
      <c r="A2" s="38" t="str">
        <f>SAP!A12</f>
        <v>Roto Patio Inowa Schemat A RC2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25">
      <c r="A3" s="35" t="str">
        <f>SAP!A16</f>
        <v>(dobór przygotowany wg instrukcji IMO_403_DE_v7)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5.75" x14ac:dyDescent="0.25">
      <c r="A4" s="39" t="str">
        <f>SAP!A17</f>
        <v xml:space="preserve">Wybór schematu:                                      </v>
      </c>
      <c r="B4" s="40"/>
      <c r="C4" s="41" t="str">
        <f>SAP!A31</f>
        <v xml:space="preserve">  Profil: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25">
      <c r="A5" s="42" t="str">
        <f>SAP!A18</f>
        <v>Schemat A</v>
      </c>
      <c r="B5" s="43" t="str">
        <f>SAP!A25</f>
        <v>TYLKO PVC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25">
      <c r="A6" s="42" t="str">
        <f>SAP!A19</f>
        <v>Schemat A RC2</v>
      </c>
      <c r="B6" s="43" t="str">
        <f>SAP!A25</f>
        <v>TYLKO PVC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122" t="str">
        <f>SAP!A20</f>
        <v>Schemat A' w opracowaniu</v>
      </c>
      <c r="B7" s="43" t="str">
        <f>SAP!A26</f>
        <v>TYLKO DREWNO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25">
      <c r="A8" s="42" t="str">
        <f>SAP!A21</f>
        <v>Schemat C</v>
      </c>
      <c r="B8" s="43" t="str">
        <f>SAP!A27</f>
        <v>TYLKO PVC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122" t="str">
        <f>SAP!A22</f>
        <v>Schemat C' w opracowaniu</v>
      </c>
      <c r="B9" s="43" t="str">
        <f>SAP!A28</f>
        <v>TYLKO DREWNO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x14ac:dyDescent="0.25">
      <c r="A10" s="122" t="str">
        <f>SAP!A23</f>
        <v>Schemat K w opracowaniu</v>
      </c>
      <c r="B10" s="43" t="str">
        <f>SAP!A29</f>
        <v>TYLKO PVC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15.75" thickBot="1" x14ac:dyDescent="0.3">
      <c r="A11" s="122" t="str">
        <f>SAP!A24</f>
        <v>Schemat K' w opracowaniu</v>
      </c>
      <c r="B11" s="43" t="str">
        <f>SAP!A30</f>
        <v>TYLKO DREWNO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24.75" thickBot="1" x14ac:dyDescent="0.3">
      <c r="A12" s="44" t="str">
        <f>SAP!A33</f>
        <v>Wymiary:</v>
      </c>
      <c r="B12" s="45" t="str">
        <f>SAP!A34</f>
        <v>Ciężar skrzydła max 200 kg</v>
      </c>
      <c r="C12" s="100" t="str">
        <f>SAP!A35</f>
        <v>Uzupełniamy żółte pola ↓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9.5" thickBot="1" x14ac:dyDescent="0.35">
      <c r="A13" s="44" t="str">
        <f>SAP!A36</f>
        <v>Szerokość ościeżnicy FB:</v>
      </c>
      <c r="B13" s="35"/>
      <c r="C13" s="33">
        <v>3000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9.5" thickBot="1" x14ac:dyDescent="0.35">
      <c r="A14" s="44" t="str">
        <f>SAP!A37</f>
        <v>Wysokość ościeżnicy FH:</v>
      </c>
      <c r="C14" s="33">
        <v>2400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ht="18.75" x14ac:dyDescent="0.3">
      <c r="A15" s="35" t="str">
        <f>SAP!A38</f>
        <v>FFB szerokość skrzydła na wrębie (min: 710 mm; max: 1500 mm):</v>
      </c>
      <c r="B15" s="35"/>
      <c r="C15" s="46">
        <f>D95</f>
        <v>1425</v>
      </c>
      <c r="D15" s="47" t="str">
        <f>IF(C15&lt;710,SAP!A72,IF(C15&lt;=1500,"OK",IF(C15&gt;1500,SAP!A73)))</f>
        <v>OK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8.75" x14ac:dyDescent="0.3">
      <c r="A16" s="35" t="str">
        <f>SAP!A40</f>
        <v>FFH wysokość skrzydła na wrębie (min: 1072 mm; max: 2500 mm):</v>
      </c>
      <c r="B16" s="35"/>
      <c r="C16" s="48">
        <f>C95</f>
        <v>2237</v>
      </c>
      <c r="D16" s="47" t="str">
        <f>IF(C16&lt;=1071,SAP!A74,IF(C16&lt;=2500,"OK",IF(C16&gt;2501,SAP!A75)))</f>
        <v>OK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5.75" x14ac:dyDescent="0.25">
      <c r="A17" s="35" t="str">
        <f>SAP!A41</f>
        <v>Proporcje: max 2:1</v>
      </c>
      <c r="B17" s="35"/>
      <c r="C17" s="49" t="str">
        <f>F95</f>
        <v>prawidłowe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6.5" thickBot="1" x14ac:dyDescent="0.3">
      <c r="A18" s="70"/>
      <c r="B18" s="50" t="str">
        <f>SAP!A42</f>
        <v>Ilość: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9.5" thickBot="1" x14ac:dyDescent="0.35">
      <c r="A19" s="35"/>
      <c r="B19" s="35"/>
      <c r="C19" s="33">
        <v>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ht="15.75" x14ac:dyDescent="0.25">
      <c r="A20" s="44" t="str">
        <f>SAP!A45</f>
        <v>Kierunek otwierania:</v>
      </c>
      <c r="B20" s="35"/>
      <c r="C20" s="41" t="str">
        <f>SAP!A47</f>
        <v xml:space="preserve">  Kolor osłonek: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15.75" x14ac:dyDescent="0.25">
      <c r="A23" s="44" t="str">
        <f>SAP!A48</f>
        <v>Rodzaj zasuwnicy (z wkładką bębenkową FFH&gt;1801):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x14ac:dyDescent="0.25">
      <c r="A24" s="5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x14ac:dyDescent="0.25">
      <c r="A26" s="43" t="str">
        <f>M147</f>
        <v/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5.75" x14ac:dyDescent="0.25">
      <c r="A27" s="44" t="str">
        <f>SAP!A50</f>
        <v>Klamka:</v>
      </c>
      <c r="B27" s="35"/>
      <c r="C27" s="44" t="str">
        <f>SAP!A51</f>
        <v>Kolor klamki: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x14ac:dyDescent="0.25">
      <c r="A31" s="125"/>
      <c r="B31" s="10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ht="15.75" x14ac:dyDescent="0.25">
      <c r="A33" s="44" t="str">
        <f>SAP!A57</f>
        <v>Pochwyt od zewnątrz: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ht="17.2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ht="17.2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ht="15.75" x14ac:dyDescent="0.25">
      <c r="A36" s="44" t="str">
        <f>SAP!A126</f>
        <v>Montaż okuć: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5.75" x14ac:dyDescent="0.25">
      <c r="A37" s="44" t="str">
        <f>SAP!B131</f>
        <v>Dodatki: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5.75" x14ac:dyDescent="0.25">
      <c r="A38" s="68" t="str">
        <f>SAP!A59</f>
        <v>Dobór Roto Patio Inowa, schemat A RC2</v>
      </c>
      <c r="B38" s="35"/>
      <c r="C38" s="69" t="s">
        <v>290</v>
      </c>
      <c r="D38" s="73">
        <f>D95</f>
        <v>1425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ht="15.75" x14ac:dyDescent="0.25">
      <c r="A39" s="68" t="str">
        <f>SAP!A63</f>
        <v>Kierunek</v>
      </c>
      <c r="B39" s="72" t="str">
        <f>B87</f>
        <v>Lewe --&gt;</v>
      </c>
      <c r="C39" s="69" t="s">
        <v>289</v>
      </c>
      <c r="D39" s="73">
        <f>C95</f>
        <v>2237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ht="18.75" x14ac:dyDescent="0.3">
      <c r="A40" s="52" t="s">
        <v>31</v>
      </c>
      <c r="B40" s="52" t="str">
        <f>SAP!A66</f>
        <v>Artykuł</v>
      </c>
      <c r="C40" s="52" t="str">
        <f>SAP!A67</f>
        <v>Ilość szt .</v>
      </c>
      <c r="D40" s="52" t="str">
        <f>SAP!A68</f>
        <v>Na zlecenie</v>
      </c>
      <c r="H40" s="35"/>
      <c r="I40" s="35"/>
      <c r="J40" s="35"/>
      <c r="K40" s="35"/>
    </row>
    <row r="41" spans="1:21" x14ac:dyDescent="0.25">
      <c r="A41" s="53">
        <f t="shared" ref="A41:B55" si="0">A97</f>
        <v>798032</v>
      </c>
      <c r="B41" s="54" t="str">
        <f t="shared" si="0"/>
        <v>Zasuwn. KSR 1890/1000 2V D35 PIN</v>
      </c>
      <c r="C41" s="53">
        <f t="shared" ref="C41:C54" si="1">E97</f>
        <v>1</v>
      </c>
      <c r="D41" s="53">
        <f t="shared" ref="D41:D54" si="2">C41*$E$94</f>
        <v>1</v>
      </c>
      <c r="H41" s="35"/>
      <c r="I41" s="108"/>
      <c r="J41" s="35"/>
      <c r="K41" s="35"/>
    </row>
    <row r="42" spans="1:21" x14ac:dyDescent="0.25">
      <c r="A42" s="53">
        <f t="shared" si="0"/>
        <v>297858</v>
      </c>
      <c r="B42" s="53" t="str">
        <f t="shared" si="0"/>
        <v>Przedłużka zasuwn. NT MV400 bez zaczepu</v>
      </c>
      <c r="C42" s="53">
        <f t="shared" si="1"/>
        <v>1</v>
      </c>
      <c r="D42" s="53">
        <f t="shared" si="2"/>
        <v>1</v>
      </c>
      <c r="H42" s="35"/>
      <c r="I42" s="108"/>
      <c r="J42" s="35"/>
      <c r="K42" s="35"/>
    </row>
    <row r="43" spans="1:21" ht="15.75" x14ac:dyDescent="0.25">
      <c r="A43" s="53">
        <f t="shared" si="0"/>
        <v>603447</v>
      </c>
      <c r="B43" s="53" t="str">
        <f t="shared" si="0"/>
        <v>Zamk. środkowe góra 1001-1200 NT ALV</v>
      </c>
      <c r="C43" s="53">
        <f t="shared" si="1"/>
        <v>2</v>
      </c>
      <c r="D43" s="53">
        <f t="shared" si="2"/>
        <v>2</v>
      </c>
      <c r="E43" s="120" t="str">
        <f>F99</f>
        <v xml:space="preserve"> </v>
      </c>
      <c r="H43" s="35"/>
      <c r="I43" s="35"/>
      <c r="J43" s="35"/>
      <c r="K43" s="35"/>
    </row>
    <row r="44" spans="1:21" x14ac:dyDescent="0.25">
      <c r="A44" s="53">
        <f t="shared" si="0"/>
        <v>280346</v>
      </c>
      <c r="B44" s="53" t="str">
        <f t="shared" si="0"/>
        <v>Zamkn. środkowe 1E NT MV400 łączone</v>
      </c>
      <c r="C44" s="53">
        <f t="shared" si="1"/>
        <v>2</v>
      </c>
      <c r="D44" s="53">
        <f t="shared" si="2"/>
        <v>2</v>
      </c>
      <c r="H44" s="35"/>
      <c r="I44" s="35"/>
      <c r="J44" s="35"/>
      <c r="K44" s="35"/>
    </row>
    <row r="45" spans="1:21" x14ac:dyDescent="0.25">
      <c r="A45" s="53">
        <f t="shared" si="0"/>
        <v>0</v>
      </c>
      <c r="B45" s="53" t="str">
        <f t="shared" si="0"/>
        <v>__</v>
      </c>
      <c r="C45" s="53">
        <f t="shared" si="1"/>
        <v>0</v>
      </c>
      <c r="D45" s="53">
        <f t="shared" si="2"/>
        <v>0</v>
      </c>
    </row>
    <row r="46" spans="1:21" x14ac:dyDescent="0.25">
      <c r="A46" s="53">
        <f t="shared" si="0"/>
        <v>255280</v>
      </c>
      <c r="B46" s="53" t="str">
        <f t="shared" si="0"/>
        <v>Zamkn. środkowe 1E NT MV400</v>
      </c>
      <c r="C46" s="53">
        <f t="shared" si="1"/>
        <v>1</v>
      </c>
      <c r="D46" s="53">
        <f t="shared" si="2"/>
        <v>1</v>
      </c>
    </row>
    <row r="47" spans="1:21" x14ac:dyDescent="0.25">
      <c r="A47" s="53">
        <f t="shared" si="0"/>
        <v>260272</v>
      </c>
      <c r="B47" s="53" t="str">
        <f t="shared" si="0"/>
        <v>Narożnik Ku/r NT/1V</v>
      </c>
      <c r="C47" s="53">
        <f t="shared" si="1"/>
        <v>2</v>
      </c>
      <c r="D47" s="53">
        <f t="shared" si="2"/>
        <v>2</v>
      </c>
    </row>
    <row r="48" spans="1:21" x14ac:dyDescent="0.25">
      <c r="A48" s="53">
        <f t="shared" si="0"/>
        <v>260275</v>
      </c>
      <c r="B48" s="53" t="str">
        <f t="shared" si="0"/>
        <v>Narożnik NT/1E</v>
      </c>
      <c r="C48" s="53">
        <f t="shared" si="1"/>
        <v>2</v>
      </c>
      <c r="D48" s="53">
        <f t="shared" si="2"/>
        <v>2</v>
      </c>
    </row>
    <row r="49" spans="1:4" x14ac:dyDescent="0.25">
      <c r="A49" s="53">
        <f t="shared" si="0"/>
        <v>762909</v>
      </c>
      <c r="B49" s="53" t="str">
        <f t="shared" si="0"/>
        <v>Wózek 8 41 L PIN</v>
      </c>
      <c r="C49" s="53">
        <f t="shared" si="1"/>
        <v>3</v>
      </c>
      <c r="D49" s="53">
        <f t="shared" si="2"/>
        <v>3</v>
      </c>
    </row>
    <row r="50" spans="1:4" x14ac:dyDescent="0.25">
      <c r="A50" s="53">
        <f t="shared" si="0"/>
        <v>762911</v>
      </c>
      <c r="B50" s="53" t="str">
        <f t="shared" si="0"/>
        <v>Jednostka ster. 8 41 L PIN</v>
      </c>
      <c r="C50" s="53">
        <f t="shared" si="1"/>
        <v>3</v>
      </c>
      <c r="D50" s="53">
        <f t="shared" si="2"/>
        <v>3</v>
      </c>
    </row>
    <row r="51" spans="1:4" x14ac:dyDescent="0.25">
      <c r="A51" s="53">
        <f t="shared" si="0"/>
        <v>764350</v>
      </c>
      <c r="B51" s="53" t="str">
        <f t="shared" si="0"/>
        <v>Zamkn. środkowe 1E NTN MV130 łączone</v>
      </c>
      <c r="C51" s="53">
        <f t="shared" si="1"/>
        <v>8</v>
      </c>
      <c r="D51" s="53">
        <f t="shared" si="2"/>
        <v>8</v>
      </c>
    </row>
    <row r="52" spans="1:4" x14ac:dyDescent="0.25">
      <c r="A52" s="53">
        <f t="shared" si="0"/>
        <v>762913</v>
      </c>
      <c r="B52" s="53" t="str">
        <f t="shared" si="0"/>
        <v>Docisk środkowy 8 41 L PIN</v>
      </c>
      <c r="C52" s="53">
        <f t="shared" si="1"/>
        <v>5</v>
      </c>
      <c r="D52" s="53">
        <f t="shared" si="2"/>
        <v>5</v>
      </c>
    </row>
    <row r="53" spans="1:4" x14ac:dyDescent="0.25">
      <c r="A53" s="53">
        <f t="shared" si="0"/>
        <v>809612</v>
      </c>
      <c r="B53" s="53" t="str">
        <f t="shared" si="0"/>
        <v>Trzpień docisku środkowego 32.8 PIN Aluplast</v>
      </c>
      <c r="C53" s="53">
        <f t="shared" si="1"/>
        <v>5</v>
      </c>
      <c r="D53" s="53">
        <f t="shared" si="2"/>
        <v>5</v>
      </c>
    </row>
    <row r="54" spans="1:4" x14ac:dyDescent="0.25">
      <c r="A54" s="53">
        <f t="shared" si="0"/>
        <v>833688</v>
      </c>
      <c r="B54" s="53" t="str">
        <f t="shared" si="0"/>
        <v>Zaczep p-wyw RC2 sł.środkowy AluplastPIN</v>
      </c>
      <c r="C54" s="53">
        <f t="shared" si="1"/>
        <v>5</v>
      </c>
      <c r="D54" s="53">
        <f t="shared" si="2"/>
        <v>5</v>
      </c>
    </row>
    <row r="55" spans="1:4" x14ac:dyDescent="0.25">
      <c r="A55" s="53">
        <f t="shared" si="0"/>
        <v>762914</v>
      </c>
      <c r="B55" s="53" t="str">
        <f t="shared" si="0"/>
        <v>Docisk środkowy 8 41 R PIN</v>
      </c>
      <c r="C55" s="53">
        <f>C111</f>
        <v>2</v>
      </c>
      <c r="D55" s="53">
        <f t="shared" ref="D55:D57" si="3">C55*$E$94</f>
        <v>2</v>
      </c>
    </row>
    <row r="56" spans="1:4" x14ac:dyDescent="0.25">
      <c r="A56" s="53">
        <f t="shared" ref="A56:C56" si="4">A112</f>
        <v>822393</v>
      </c>
      <c r="B56" s="53" t="str">
        <f t="shared" si="4"/>
        <v>Trzpień p-wyw docisku środk. 34X8 PIN</v>
      </c>
      <c r="C56" s="53">
        <f t="shared" si="4"/>
        <v>2</v>
      </c>
      <c r="D56" s="53">
        <f t="shared" si="3"/>
        <v>2</v>
      </c>
    </row>
    <row r="57" spans="1:4" x14ac:dyDescent="0.25">
      <c r="A57" s="53">
        <f t="shared" ref="A57:C57" si="5">A113</f>
        <v>810279</v>
      </c>
      <c r="B57" s="53" t="str">
        <f t="shared" si="5"/>
        <v>Zaczep do docisku p-wyw.  MB KPL PIN</v>
      </c>
      <c r="C57" s="53">
        <f t="shared" si="5"/>
        <v>2</v>
      </c>
      <c r="D57" s="53">
        <f t="shared" si="3"/>
        <v>2</v>
      </c>
    </row>
    <row r="58" spans="1:4" x14ac:dyDescent="0.25">
      <c r="A58" s="53">
        <f t="shared" ref="A58:B63" si="6">A114</f>
        <v>798225</v>
      </c>
      <c r="B58" s="53" t="str">
        <f t="shared" si="6"/>
        <v>Zaczep p-wywBlok.bł.obsługiDr/PVC12.2PIN</v>
      </c>
      <c r="C58" s="53">
        <f t="shared" ref="C58:C63" si="7">E114</f>
        <v>1</v>
      </c>
      <c r="D58" s="53">
        <f t="shared" ref="D58:D73" si="8">C58*$E$94</f>
        <v>1</v>
      </c>
    </row>
    <row r="59" spans="1:4" x14ac:dyDescent="0.25">
      <c r="A59" s="53">
        <f t="shared" si="6"/>
        <v>798226</v>
      </c>
      <c r="B59" s="53" t="str">
        <f t="shared" si="6"/>
        <v>Zaczep p-wyw drewno/PVC 12.2 NIRO PIN</v>
      </c>
      <c r="C59" s="53">
        <f t="shared" si="7"/>
        <v>3</v>
      </c>
      <c r="D59" s="53">
        <f t="shared" si="8"/>
        <v>3</v>
      </c>
    </row>
    <row r="60" spans="1:4" x14ac:dyDescent="0.25">
      <c r="A60" s="53">
        <f t="shared" si="6"/>
        <v>635307</v>
      </c>
      <c r="B60" s="53" t="str">
        <f t="shared" si="6"/>
        <v>Zderzak 14 PIN</v>
      </c>
      <c r="C60" s="53">
        <f t="shared" si="7"/>
        <v>2</v>
      </c>
      <c r="D60" s="53">
        <f t="shared" si="8"/>
        <v>2</v>
      </c>
    </row>
    <row r="61" spans="1:4" x14ac:dyDescent="0.25">
      <c r="A61" s="53">
        <f t="shared" si="6"/>
        <v>800196</v>
      </c>
      <c r="B61" s="53" t="str">
        <f t="shared" si="6"/>
        <v>Stoper do prowadnicy górnej PIN</v>
      </c>
      <c r="C61" s="53">
        <f t="shared" si="7"/>
        <v>1</v>
      </c>
      <c r="D61" s="53">
        <f t="shared" si="8"/>
        <v>1</v>
      </c>
    </row>
    <row r="62" spans="1:4" x14ac:dyDescent="0.25">
      <c r="A62" s="53">
        <f t="shared" si="6"/>
        <v>800197</v>
      </c>
      <c r="B62" s="53" t="str">
        <f t="shared" si="6"/>
        <v>El. dyst. stopera prowadnicy górnej PIN</v>
      </c>
      <c r="C62" s="53">
        <f t="shared" si="7"/>
        <v>1</v>
      </c>
      <c r="D62" s="53">
        <f t="shared" si="8"/>
        <v>1</v>
      </c>
    </row>
    <row r="63" spans="1:4" x14ac:dyDescent="0.25">
      <c r="A63" s="53">
        <f t="shared" si="6"/>
        <v>828482</v>
      </c>
      <c r="B63" s="53" t="str">
        <f t="shared" si="6"/>
        <v>Osłona zacz. antywyw. MB R01.1 PIN</v>
      </c>
      <c r="C63" s="53">
        <f t="shared" si="7"/>
        <v>7</v>
      </c>
      <c r="D63" s="53">
        <f t="shared" si="8"/>
        <v>7</v>
      </c>
    </row>
    <row r="64" spans="1:4" x14ac:dyDescent="0.25">
      <c r="A64" s="53">
        <f>A121</f>
        <v>780593</v>
      </c>
      <c r="B64" s="53" t="str">
        <f>B121</f>
        <v>Klamka R-line/klucz100Nm43mm200R01.1ALV</v>
      </c>
      <c r="C64" s="53">
        <f>E121</f>
        <v>1</v>
      </c>
      <c r="D64" s="53">
        <f t="shared" si="8"/>
        <v>1</v>
      </c>
    </row>
    <row r="65" spans="1:8" x14ac:dyDescent="0.25">
      <c r="A65" s="53">
        <f>A120</f>
        <v>770965</v>
      </c>
      <c r="B65" s="53" t="str">
        <f>B120</f>
        <v>Blokada antyrozwierceniowa NT</v>
      </c>
      <c r="C65" s="53">
        <f>E120</f>
        <v>1</v>
      </c>
      <c r="D65" s="53">
        <f t="shared" si="8"/>
        <v>1</v>
      </c>
    </row>
    <row r="66" spans="1:8" x14ac:dyDescent="0.25">
      <c r="A66" s="55">
        <f t="shared" ref="A66:B73" si="9">A123</f>
        <v>0</v>
      </c>
      <c r="B66" s="53" t="str">
        <f t="shared" si="9"/>
        <v>__</v>
      </c>
      <c r="C66" s="53">
        <f>E123</f>
        <v>0</v>
      </c>
      <c r="D66" s="53">
        <f t="shared" si="8"/>
        <v>0</v>
      </c>
    </row>
    <row r="67" spans="1:8" x14ac:dyDescent="0.25">
      <c r="A67" s="55">
        <f t="shared" si="9"/>
        <v>0</v>
      </c>
      <c r="B67" s="53" t="str">
        <f t="shared" si="9"/>
        <v>__</v>
      </c>
      <c r="C67" s="53">
        <f>E124</f>
        <v>0</v>
      </c>
      <c r="D67" s="53">
        <f t="shared" si="8"/>
        <v>0</v>
      </c>
    </row>
    <row r="68" spans="1:8" x14ac:dyDescent="0.25">
      <c r="A68" s="53">
        <f t="shared" si="9"/>
        <v>0</v>
      </c>
      <c r="B68" s="53" t="str">
        <f t="shared" si="9"/>
        <v>__</v>
      </c>
      <c r="C68" s="53">
        <f>E125</f>
        <v>0</v>
      </c>
      <c r="D68" s="53">
        <f t="shared" si="8"/>
        <v>0</v>
      </c>
    </row>
    <row r="69" spans="1:8" x14ac:dyDescent="0.25">
      <c r="A69" s="53">
        <f t="shared" si="9"/>
        <v>0</v>
      </c>
      <c r="B69" s="53" t="str">
        <f t="shared" si="9"/>
        <v>__</v>
      </c>
      <c r="C69" s="53">
        <f>E126</f>
        <v>0</v>
      </c>
      <c r="D69" s="53">
        <f t="shared" si="8"/>
        <v>0</v>
      </c>
    </row>
    <row r="70" spans="1:8" hidden="1" x14ac:dyDescent="0.25">
      <c r="A70" s="55">
        <f t="shared" si="9"/>
        <v>0</v>
      </c>
      <c r="B70" s="53" t="str">
        <f t="shared" si="9"/>
        <v>__</v>
      </c>
      <c r="C70" s="53">
        <f>E128</f>
        <v>0</v>
      </c>
      <c r="D70" s="53">
        <f t="shared" si="8"/>
        <v>0</v>
      </c>
    </row>
    <row r="71" spans="1:8" hidden="1" x14ac:dyDescent="0.25">
      <c r="A71" s="53">
        <f t="shared" si="9"/>
        <v>0</v>
      </c>
      <c r="B71" s="53" t="str">
        <f t="shared" si="9"/>
        <v>__</v>
      </c>
      <c r="C71" s="53">
        <f>E129</f>
        <v>0</v>
      </c>
      <c r="D71" s="53">
        <f t="shared" si="8"/>
        <v>0</v>
      </c>
    </row>
    <row r="72" spans="1:8" hidden="1" x14ac:dyDescent="0.25">
      <c r="A72" s="53">
        <f t="shared" si="9"/>
        <v>0</v>
      </c>
      <c r="B72" s="53" t="str">
        <f t="shared" si="9"/>
        <v>__</v>
      </c>
      <c r="C72" s="53">
        <f>E130</f>
        <v>0</v>
      </c>
      <c r="D72" s="56">
        <f t="shared" si="8"/>
        <v>0</v>
      </c>
      <c r="E72" s="57" t="s">
        <v>93</v>
      </c>
    </row>
    <row r="73" spans="1:8" hidden="1" x14ac:dyDescent="0.25">
      <c r="A73" s="53">
        <f t="shared" si="9"/>
        <v>0</v>
      </c>
      <c r="B73" s="53" t="str">
        <f t="shared" si="9"/>
        <v>__</v>
      </c>
      <c r="C73" s="53">
        <f>E123</f>
        <v>0</v>
      </c>
      <c r="D73" s="58">
        <f t="shared" si="8"/>
        <v>0</v>
      </c>
      <c r="E73" s="57" t="s">
        <v>92</v>
      </c>
    </row>
    <row r="74" spans="1:8" x14ac:dyDescent="0.25">
      <c r="E74" s="109"/>
    </row>
    <row r="75" spans="1:8" x14ac:dyDescent="0.25">
      <c r="B75" s="71" t="str">
        <f>SAP!A69</f>
        <v>Zamówienie szablonów i dokumentacji</v>
      </c>
      <c r="C75" s="59"/>
    </row>
    <row r="76" spans="1:8" x14ac:dyDescent="0.25">
      <c r="B76" s="53" t="str">
        <f>SAP!A70</f>
        <v>Certyfikat</v>
      </c>
    </row>
    <row r="77" spans="1:8" s="6" customFormat="1" hidden="1" x14ac:dyDescent="0.25">
      <c r="A77" s="5"/>
      <c r="B77" s="5"/>
      <c r="C77" s="5"/>
      <c r="D77" s="5"/>
      <c r="E77" s="5"/>
    </row>
    <row r="78" spans="1:8" s="6" customFormat="1" hidden="1" x14ac:dyDescent="0.25"/>
    <row r="79" spans="1:8" s="6" customFormat="1" hidden="1" x14ac:dyDescent="0.25"/>
    <row r="80" spans="1:8" s="6" customFormat="1" hidden="1" x14ac:dyDescent="0.25">
      <c r="B80" s="6" t="s">
        <v>60</v>
      </c>
      <c r="C80" s="6" t="str">
        <f>SAP!A8</f>
        <v>Aluplast</v>
      </c>
      <c r="D80" s="6" t="str">
        <f>SAP!A80</f>
        <v>Klamka 200mm</v>
      </c>
      <c r="F80" s="6" t="str">
        <f>SAP!A89</f>
        <v>R01.1 Naturalny srebrny</v>
      </c>
      <c r="H80" s="6" t="str">
        <f>SAP!A101</f>
        <v>brak</v>
      </c>
    </row>
    <row r="81" spans="1:13" s="6" customFormat="1" hidden="1" x14ac:dyDescent="0.25">
      <c r="B81" s="6" t="s">
        <v>61</v>
      </c>
      <c r="C81" s="6" t="str">
        <f>SAP!A9</f>
        <v>Drewno</v>
      </c>
      <c r="D81" s="6" t="str">
        <f>SAP!A81</f>
        <v>Klamka 200mm z przyciskiem</v>
      </c>
      <c r="F81" s="6" t="str">
        <f>SAP!A90</f>
        <v>R01.2 Nowy srebrny</v>
      </c>
      <c r="H81" s="6" t="str">
        <f>SAP!A102</f>
        <v>R01.1 Naturalny srebrny</v>
      </c>
    </row>
    <row r="82" spans="1:13" s="6" customFormat="1" hidden="1" x14ac:dyDescent="0.25">
      <c r="B82" s="6" t="s">
        <v>62</v>
      </c>
      <c r="C82" s="6" t="str">
        <f>SAP!A10</f>
        <v>Gealan</v>
      </c>
      <c r="D82" s="6" t="str">
        <f>SAP!A82</f>
        <v>Klamka 200mm 100Nm</v>
      </c>
      <c r="F82" s="6" t="str">
        <f>SAP!A91</f>
        <v>R01.3 Tytan</v>
      </c>
      <c r="H82" s="6" t="str">
        <f>SAP!A103</f>
        <v>R01.3 Tytan</v>
      </c>
    </row>
    <row r="83" spans="1:13" s="6" customFormat="1" hidden="1" x14ac:dyDescent="0.25">
      <c r="B83" s="6" t="s">
        <v>63</v>
      </c>
      <c r="D83" s="6" t="str">
        <f>SAP!A83</f>
        <v>Klamka 200mm obustronna</v>
      </c>
      <c r="F83" s="6" t="str">
        <f>SAP!A92</f>
        <v>R01.5 Srebrny</v>
      </c>
      <c r="H83" s="6" t="str">
        <f>SAP!A104</f>
        <v>R05.3 Średni brąz</v>
      </c>
    </row>
    <row r="84" spans="1:13" s="6" customFormat="1" hidden="1" x14ac:dyDescent="0.25">
      <c r="B84" s="6" t="s">
        <v>64</v>
      </c>
      <c r="D84" s="7">
        <v>3</v>
      </c>
      <c r="F84" s="6" t="str">
        <f>SAP!A93</f>
        <v>R02.2 Antracyt</v>
      </c>
      <c r="H84" s="6" t="str">
        <f>SAP!A105</f>
        <v>R05.5 Brązowy</v>
      </c>
    </row>
    <row r="85" spans="1:13" s="6" customFormat="1" hidden="1" x14ac:dyDescent="0.25">
      <c r="B85" s="6" t="s">
        <v>65</v>
      </c>
      <c r="D85" s="6" t="s">
        <v>192</v>
      </c>
      <c r="F85" s="6" t="str">
        <f>SAP!A94</f>
        <v>R05.3 Średni brąz</v>
      </c>
      <c r="H85" s="6" t="str">
        <f>SAP!A106</f>
        <v>R07.2 Biały</v>
      </c>
    </row>
    <row r="86" spans="1:13" s="6" customFormat="1" hidden="1" x14ac:dyDescent="0.25">
      <c r="D86" s="6" t="s">
        <v>193</v>
      </c>
      <c r="F86" s="6" t="str">
        <f>SAP!A95</f>
        <v>R05.4 Ciemny brąz</v>
      </c>
      <c r="H86" s="6" t="str">
        <f>SAP!A107</f>
        <v>R06.2 Czarny (pochwyt IS)</v>
      </c>
    </row>
    <row r="87" spans="1:13" s="6" customFormat="1" hidden="1" x14ac:dyDescent="0.25">
      <c r="B87" s="6" t="str">
        <f>IF(C210=1,C203,IF(C210=2,C204))</f>
        <v>Lewe --&gt;</v>
      </c>
      <c r="D87" s="6" t="s">
        <v>194</v>
      </c>
      <c r="F87" s="6" t="str">
        <f>SAP!A96</f>
        <v>R05.5 Brązowy</v>
      </c>
      <c r="H87" s="7">
        <v>3</v>
      </c>
    </row>
    <row r="88" spans="1:13" s="6" customFormat="1" hidden="1" x14ac:dyDescent="0.25">
      <c r="D88" s="6" t="str">
        <f>SAP!A87</f>
        <v>100mm dwustronna</v>
      </c>
      <c r="F88" s="6" t="str">
        <f>SAP!A97</f>
        <v>R06.2M Czarny Mat</v>
      </c>
    </row>
    <row r="89" spans="1:13" s="6" customFormat="1" hidden="1" x14ac:dyDescent="0.25">
      <c r="D89" s="6" t="str">
        <f>SAP!A88</f>
        <v>135mm dwustronna</v>
      </c>
      <c r="F89" s="6" t="str">
        <f>SAP!A98</f>
        <v>R07.2 Biały</v>
      </c>
      <c r="M89" s="6" t="str">
        <f>IF(D84=1,M92,IF(D84=2,M92,IF(D84=3,M90)))</f>
        <v>Uwaga! W przypadku zastosowania klamki obustronnej wybierz trzpień i klamkę obustronną</v>
      </c>
    </row>
    <row r="90" spans="1:13" s="6" customFormat="1" hidden="1" x14ac:dyDescent="0.25">
      <c r="D90" s="8">
        <v>2</v>
      </c>
      <c r="F90" s="6" t="str">
        <f>SAP!A99</f>
        <v>R07.3 Kremowy</v>
      </c>
      <c r="M90" s="6" t="str">
        <f>IF(B92=1,SAP!A56,IF(B92=2,"",IF(B92=3,SAP!A56)))</f>
        <v>Uwaga! W przypadku zastosowania klamki obustronnej wybierz trzpień i klamkę obustronną</v>
      </c>
    </row>
    <row r="91" spans="1:13" s="6" customFormat="1" ht="15.75" hidden="1" x14ac:dyDescent="0.25">
      <c r="B91" s="6" t="s">
        <v>66</v>
      </c>
      <c r="D91" s="102">
        <f>IF(D84=4,4,IF(B92=1,3,IF(B92=3,3)))</f>
        <v>3</v>
      </c>
      <c r="F91" s="7">
        <v>1</v>
      </c>
      <c r="I91" s="74" t="str">
        <f>IF(B92=1,"Słupek:",IF(B92=2," ",IF(B92=3," ")))</f>
        <v>Słupek:</v>
      </c>
      <c r="M91" s="6" t="s">
        <v>330</v>
      </c>
    </row>
    <row r="92" spans="1:13" s="6" customFormat="1" ht="15.75" hidden="1" x14ac:dyDescent="0.25">
      <c r="B92" s="9">
        <v>1</v>
      </c>
      <c r="C92" s="6" t="s">
        <v>225</v>
      </c>
      <c r="D92" s="6" t="s">
        <v>226</v>
      </c>
      <c r="I92" s="44"/>
      <c r="M92" s="6" t="str">
        <f>IF(B92=1,SAP!A53,IF(B92=2,"",IF(B92=3,SAP!A55)))</f>
        <v>Aluplast -&gt; klamka z trzpieniem 37mm</v>
      </c>
    </row>
    <row r="93" spans="1:13" s="6" customFormat="1" ht="23.25" hidden="1" x14ac:dyDescent="0.35">
      <c r="C93" s="10">
        <f>IF(B92=1,C14-163,IF(B92=3,C14-177,IF(B92=2,C14-134)))</f>
        <v>2237</v>
      </c>
      <c r="D93" s="10">
        <f>IF(B92=1,C13/2-75,IF(B92=3,C13/2-58,IF(B92=2,C13/2-54)))</f>
        <v>1425</v>
      </c>
      <c r="E93" s="6" t="s">
        <v>27</v>
      </c>
      <c r="F93" s="6" t="s">
        <v>75</v>
      </c>
      <c r="I93" s="18" t="s">
        <v>315</v>
      </c>
    </row>
    <row r="94" spans="1:13" s="6" customFormat="1" hidden="1" x14ac:dyDescent="0.25">
      <c r="C94" s="6" t="s">
        <v>3</v>
      </c>
      <c r="D94" s="6" t="s">
        <v>0</v>
      </c>
      <c r="E94" s="11">
        <f>C19</f>
        <v>1</v>
      </c>
      <c r="I94" s="18" t="s">
        <v>316</v>
      </c>
    </row>
    <row r="95" spans="1:13" s="6" customFormat="1" hidden="1" x14ac:dyDescent="0.25">
      <c r="A95" s="6" t="s">
        <v>833</v>
      </c>
      <c r="C95" s="11">
        <f>C93</f>
        <v>2237</v>
      </c>
      <c r="D95" s="11">
        <f>D93</f>
        <v>1425</v>
      </c>
      <c r="F95" s="11" t="str">
        <f>IF(C95/D95&lt;=2,SAP!A43,IF(C95/D95&gt;2,SAP!A44))</f>
        <v>prawidłowe</v>
      </c>
      <c r="I95" s="18">
        <v>1</v>
      </c>
    </row>
    <row r="96" spans="1:13" s="6" customFormat="1" hidden="1" x14ac:dyDescent="0.25">
      <c r="A96" s="6">
        <f>IF(C17=SAP!A43,'Schemat A RC2'!A97,IF('Schemat A RC2'!C17=SAP!A44,0))</f>
        <v>798032</v>
      </c>
    </row>
    <row r="97" spans="1:9" s="6" customFormat="1" hidden="1" x14ac:dyDescent="0.25">
      <c r="A97" s="12">
        <f>IF(B92=1,C161,IF(B92=2,"!",IF(B92=3,C161)))</f>
        <v>798032</v>
      </c>
      <c r="B97" s="6" t="str">
        <f>IF(SAP!$A$7=1,VLOOKUP(A97,SAP!$1:$1048576,2,FALSE),IF(SAP!$A$7=2,VLOOKUP(A97,SAP!$1:$1048576,5,FALSE),IF(SAP!$A$7=3,VLOOKUP(A97,SAP!$1:$1048576,6,FALSE),IF(SAP!$A$7=4,VLOOKUP(A97,SAP!$1:$1048576,7,FALSE)))))</f>
        <v>Zasuwn. KSR 1890/1000 2V D35 PIN</v>
      </c>
      <c r="C97" s="6">
        <f>F144</f>
        <v>1</v>
      </c>
      <c r="E97" s="6">
        <f>IF(A97="!",0,IF(A97&lt;&gt;"!",C97))</f>
        <v>1</v>
      </c>
    </row>
    <row r="98" spans="1:9" s="6" customFormat="1" hidden="1" x14ac:dyDescent="0.25">
      <c r="A98" s="6">
        <f>IF(B92=1,G180,IF(B92=3,G180,IF(B92=2,0)))</f>
        <v>297858</v>
      </c>
      <c r="B98" s="6" t="str">
        <f>IF(SAP!$A$7=1,VLOOKUP(A98,SAP!$1:$1048576,2,FALSE),IF(SAP!$A$7=2,VLOOKUP(A98,SAP!$1:$1048576,5,FALSE),IF(SAP!$A$7=3,VLOOKUP(A98,SAP!$1:$1048576,6,FALSE),IF(SAP!$A$7=4,VLOOKUP(A98,SAP!$1:$1048576,7,FALSE)))))</f>
        <v>Przedłużka zasuwn. NT MV400 bez zaczepu</v>
      </c>
      <c r="C98" s="6">
        <f>F180</f>
        <v>1</v>
      </c>
      <c r="E98" s="6">
        <f>IF(A98=0,0,IF(A98&lt;&gt;0,C98))</f>
        <v>1</v>
      </c>
    </row>
    <row r="99" spans="1:9" s="6" customFormat="1" hidden="1" x14ac:dyDescent="0.25">
      <c r="A99" s="6">
        <f>IF(B92=1,G189,IF(B92=3,G189,IF(B92=2,0)))</f>
        <v>603447</v>
      </c>
      <c r="B99" s="6" t="str">
        <f>IF(SAP!$A$7=1,VLOOKUP(A99,SAP!$1:$1048576,2,FALSE),IF(SAP!$A$7=2,VLOOKUP(A99,SAP!$1:$1048576,5,FALSE),IF(SAP!$A$7=3,VLOOKUP(A99,SAP!$1:$1048576,6,FALSE),IF(SAP!$A$7=4,VLOOKUP(A99,SAP!$1:$1048576,7,FALSE)))))</f>
        <v>Zamk. środkowe góra 1001-1200 NT ALV</v>
      </c>
      <c r="C99" s="6">
        <f>F189*2</f>
        <v>2</v>
      </c>
      <c r="E99" s="6">
        <f>IF(A99=0,0,IF(A99&lt;&gt;0,C99))</f>
        <v>2</v>
      </c>
      <c r="F99" s="6" t="str">
        <f>IF(D15=SAP!A72,SAP!A71,IF('Schemat A RC2'!D15=SAP!A73,SAP!A71,IF('Schemat A RC2'!D15="ok"," ")))</f>
        <v xml:space="preserve"> </v>
      </c>
      <c r="I99" s="93"/>
    </row>
    <row r="100" spans="1:9" s="6" customFormat="1" hidden="1" x14ac:dyDescent="0.25">
      <c r="A100" s="6">
        <f>IF(B92=1,G196,IF(B92=3,G196,IF(B92=2,0)))</f>
        <v>280346</v>
      </c>
      <c r="B100" s="6" t="str">
        <f>IF(SAP!$A$7=1,VLOOKUP(A100,SAP!$1:$1048576,2,FALSE),IF(SAP!$A$7=2,VLOOKUP(A100,SAP!$1:$1048576,5,FALSE),IF(SAP!$A$7=3,VLOOKUP(A100,SAP!$1:$1048576,6,FALSE),IF(SAP!$A$7=4,VLOOKUP(A100,SAP!$1:$1048576,7,FALSE)))))</f>
        <v>Zamkn. środkowe 1E NT MV400 łączone</v>
      </c>
      <c r="C100" s="6">
        <f>I196</f>
        <v>2</v>
      </c>
      <c r="E100" s="6">
        <f>IF(A100=0,0,IF(A100&lt;&gt;0,C100))</f>
        <v>2</v>
      </c>
    </row>
    <row r="101" spans="1:9" s="6" customFormat="1" hidden="1" x14ac:dyDescent="0.25">
      <c r="A101" s="6">
        <f>IF(B92=1,M196,IF(B92=3,M196,IF(B92=2,0)))</f>
        <v>0</v>
      </c>
      <c r="B101" s="6" t="str">
        <f>IF(SAP!$A$7=1,VLOOKUP(A101,SAP!$1:$1048576,2,FALSE),IF(SAP!$A$7=2,VLOOKUP(A101,SAP!$1:$1048576,5,FALSE),IF(SAP!$A$7=3,VLOOKUP(A101,SAP!$1:$1048576,6,FALSE),IF(SAP!$A$7=4,VLOOKUP(A101,SAP!$1:$1048576,7,FALSE)))))</f>
        <v>__</v>
      </c>
      <c r="C101" s="6">
        <f>L196</f>
        <v>0</v>
      </c>
      <c r="E101" s="6">
        <f>IF(A101=0,0,IF(A101&lt;&gt;0,C101))</f>
        <v>0</v>
      </c>
    </row>
    <row r="102" spans="1:9" s="6" customFormat="1" hidden="1" x14ac:dyDescent="0.25">
      <c r="A102" s="6">
        <f>IF(B92=1,S196,IF(B92=3,S196,IF(B92=2,0)))</f>
        <v>255280</v>
      </c>
      <c r="B102" s="6" t="str">
        <f>IF(SAP!$A$7=1,VLOOKUP(A102,SAP!$1:$1048576,2,FALSE),IF(SAP!$A$7=2,VLOOKUP(A102,SAP!$1:$1048576,5,FALSE),IF(SAP!$A$7=3,VLOOKUP(A102,SAP!$1:$1048576,6,FALSE),IF(SAP!$A$7=4,VLOOKUP(A102,SAP!$1:$1048576,7,FALSE)))))</f>
        <v>Zamkn. środkowe 1E NT MV400</v>
      </c>
      <c r="C102" s="6">
        <f>R196</f>
        <v>1</v>
      </c>
      <c r="E102" s="6">
        <f>IF(A102=0,0,IF(A102&lt;&gt;0,C102))</f>
        <v>1</v>
      </c>
    </row>
    <row r="103" spans="1:9" s="6" customFormat="1" hidden="1" x14ac:dyDescent="0.25">
      <c r="A103" s="6">
        <f>IF(B92=1,A198,IF(B92=3,A198,IF(B92=2,0)))</f>
        <v>260272</v>
      </c>
      <c r="B103" s="6" t="str">
        <f>IF(SAP!$A$7=1,VLOOKUP(A103,SAP!$1:$1048576,2,FALSE),IF(SAP!$A$7=2,VLOOKUP(A103,SAP!$1:$1048576,5,FALSE),IF(SAP!$A$7=3,VLOOKUP(A103,SAP!$1:$1048576,6,FALSE),IF(SAP!$A$7=4,VLOOKUP(A103,SAP!$1:$1048576,7,FALSE)))))</f>
        <v>Narożnik Ku/r NT/1V</v>
      </c>
      <c r="C103" s="6">
        <f>C198</f>
        <v>2</v>
      </c>
      <c r="E103" s="6">
        <f t="shared" ref="E103:E130" si="10">IF(A103=0,0,IF(A103&lt;&gt;0,C103))</f>
        <v>2</v>
      </c>
    </row>
    <row r="104" spans="1:9" s="6" customFormat="1" hidden="1" x14ac:dyDescent="0.25">
      <c r="A104" s="6">
        <f>IF(B92=1,A199,IF(B92=3,A199,IF(B92=2,0)))</f>
        <v>260275</v>
      </c>
      <c r="B104" s="6" t="str">
        <f>IF(SAP!$A$7=1,VLOOKUP(A104,SAP!$1:$1048576,2,FALSE),IF(SAP!$A$7=2,VLOOKUP(A104,SAP!$1:$1048576,5,FALSE),IF(SAP!$A$7=3,VLOOKUP(A104,SAP!$1:$1048576,6,FALSE),IF(SAP!$A$7=4,VLOOKUP(A104,SAP!$1:$1048576,7,FALSE)))))</f>
        <v>Narożnik NT/1E</v>
      </c>
      <c r="C104" s="6">
        <f>C199</f>
        <v>2</v>
      </c>
      <c r="E104" s="6">
        <f t="shared" si="10"/>
        <v>2</v>
      </c>
    </row>
    <row r="105" spans="1:9" s="6" customFormat="1" hidden="1" x14ac:dyDescent="0.25">
      <c r="A105" s="6">
        <f>IF(B92=1,IF(C210=1,A206,IF(C210=2,A207)),IF(B92=2,0,IF(B92=3,IF(C210=1,A206,IF(C210=2,A207)))))</f>
        <v>762909</v>
      </c>
      <c r="B105" s="6" t="str">
        <f>IF(SAP!$A$7=1,VLOOKUP(A105,SAP!$1:$1048576,2,FALSE),IF(SAP!$A$7=2,VLOOKUP(A105,SAP!$1:$1048576,5,FALSE),IF(SAP!$A$7=3,VLOOKUP(A105,SAP!$1:$1048576,6,FALSE),IF(SAP!$A$7=4,VLOOKUP(A105,SAP!$1:$1048576,7,FALSE)))))</f>
        <v>Wózek 8 41 L PIN</v>
      </c>
      <c r="C105" s="6">
        <f>SUM(2,IF(D95&gt;=1061,1))</f>
        <v>3</v>
      </c>
      <c r="E105" s="6">
        <f t="shared" si="10"/>
        <v>3</v>
      </c>
    </row>
    <row r="106" spans="1:9" s="6" customFormat="1" hidden="1" x14ac:dyDescent="0.25">
      <c r="A106" s="6">
        <f>IF(B92=1,IF(C210=1,A211,IF(C210=2,A212)),IF(B92=2,0,IF(B92=3,IF(C210=1,A211,IF(C210=2,A212)))))</f>
        <v>762911</v>
      </c>
      <c r="B106" s="6" t="str">
        <f>IF(SAP!$A$7=1,VLOOKUP(A106,SAP!$1:$1048576,2,FALSE),IF(SAP!$A$7=2,VLOOKUP(A106,SAP!$1:$1048576,5,FALSE),IF(SAP!$A$7=3,VLOOKUP(A106,SAP!$1:$1048576,6,FALSE),IF(SAP!$A$7=4,VLOOKUP(A106,SAP!$1:$1048576,7,FALSE)))))</f>
        <v>Jednostka ster. 8 41 L PIN</v>
      </c>
      <c r="C106" s="6">
        <f>SUM(2,IF(D95&gt;=1061,1))</f>
        <v>3</v>
      </c>
      <c r="E106" s="6">
        <f t="shared" si="10"/>
        <v>3</v>
      </c>
    </row>
    <row r="107" spans="1:9" s="6" customFormat="1" hidden="1" x14ac:dyDescent="0.25">
      <c r="A107" s="6">
        <f>IF(B92=1,A221,IF(B92=3,A221,IF(B92=2,0)))</f>
        <v>764350</v>
      </c>
      <c r="B107" s="6" t="str">
        <f>IF(SAP!$A$7=1,VLOOKUP(A107,SAP!$1:$1048576,2,FALSE),IF(SAP!$A$7=2,VLOOKUP(A107,SAP!$1:$1048576,5,FALSE),IF(SAP!$A$7=3,VLOOKUP(A107,SAP!$1:$1048576,6,FALSE),IF(SAP!$A$7=4,VLOOKUP(A107,SAP!$1:$1048576,7,FALSE)))))</f>
        <v>Zamkn. środkowe 1E NTN MV130 łączone</v>
      </c>
      <c r="C107" s="6">
        <f>C221</f>
        <v>8</v>
      </c>
      <c r="E107" s="6">
        <f>IF(A107=0,0,IF(A107&lt;&gt;0,C107))</f>
        <v>8</v>
      </c>
    </row>
    <row r="108" spans="1:9" s="6" customFormat="1" hidden="1" x14ac:dyDescent="0.25">
      <c r="A108" s="6">
        <f>IF($B$92=1,IF(C210=1,A216,IF(C210=2,A217)),IF($B$92=2,0,IF($B$92=3,IF(C210=1,A216,IF(C210=2,A217)))))</f>
        <v>762913</v>
      </c>
      <c r="B108" s="6" t="str">
        <f>IF(SAP!$A$7=1,VLOOKUP(A108,SAP!$1:$1048576,2,FALSE),IF(SAP!$A$7=2,VLOOKUP(A108,SAP!$1:$1048576,5,FALSE),IF(SAP!$A$7=3,VLOOKUP(A108,SAP!$1:$1048576,6,FALSE),IF(SAP!$A$7=4,VLOOKUP(A108,SAP!$1:$1048576,7,FALSE)))))</f>
        <v>Docisk środkowy 8 41 L PIN</v>
      </c>
      <c r="C108" s="6">
        <f>C216</f>
        <v>5</v>
      </c>
      <c r="E108" s="6">
        <f t="shared" si="10"/>
        <v>5</v>
      </c>
    </row>
    <row r="109" spans="1:9" s="6" customFormat="1" hidden="1" x14ac:dyDescent="0.25">
      <c r="A109" s="6">
        <f>IF(B92=1,A225,IF(B92=2,0,IF(B92=3,A224)))</f>
        <v>809612</v>
      </c>
      <c r="B109" s="6" t="str">
        <f>IF(SAP!$A$7=1,VLOOKUP(A109,SAP!$1:$1048576,2,FALSE),IF(SAP!$A$7=2,VLOOKUP(A109,SAP!$1:$1048576,5,FALSE),IF(SAP!$A$7=3,VLOOKUP(A109,SAP!$1:$1048576,6,FALSE),IF(SAP!$A$7=4,VLOOKUP(A109,SAP!$1:$1048576,7,FALSE)))))</f>
        <v>Trzpień docisku środkowego 32.8 PIN Aluplast</v>
      </c>
      <c r="C109" s="6">
        <f>C223</f>
        <v>5</v>
      </c>
      <c r="E109" s="6">
        <f t="shared" si="10"/>
        <v>5</v>
      </c>
    </row>
    <row r="110" spans="1:9" s="6" customFormat="1" hidden="1" x14ac:dyDescent="0.25">
      <c r="A110" s="6">
        <f>IF(B92=1,A253,IF(B92=2,0,IF(B92=3,A254)))</f>
        <v>833688</v>
      </c>
      <c r="B110" s="6" t="str">
        <f>IF(SAP!$A$7=1,VLOOKUP(A110,SAP!$1:$1048576,2,FALSE),IF(SAP!$A$7=2,VLOOKUP(A110,SAP!$1:$1048576,5,FALSE),IF(SAP!$A$7=3,VLOOKUP(A110,SAP!$1:$1048576,6,FALSE),IF(SAP!$A$7=4,VLOOKUP(A110,SAP!$1:$1048576,7,FALSE)))))</f>
        <v>Zaczep p-wyw RC2 sł.środkowy AluplastPIN</v>
      </c>
      <c r="C110" s="6">
        <f>C228</f>
        <v>5</v>
      </c>
      <c r="E110" s="6">
        <f t="shared" si="10"/>
        <v>5</v>
      </c>
    </row>
    <row r="111" spans="1:9" s="6" customFormat="1" hidden="1" x14ac:dyDescent="0.25">
      <c r="A111" s="6">
        <f>IF($B$92=1,IF(C210=1,A217,IF(C210=2,A216)),IF($B$92=2,0,IF($B$92=3,IF(C210=1,A217,IF(C210=2,A216)))))</f>
        <v>762914</v>
      </c>
      <c r="B111" s="6" t="str">
        <f>IF(SAP!$A$7=1,VLOOKUP(A111,SAP!$1:$1048576,2,FALSE),IF(SAP!$A$7=2,VLOOKUP(A111,SAP!$1:$1048576,5,FALSE),IF(SAP!$A$7=3,VLOOKUP(A111,SAP!$1:$1048576,6,FALSE),IF(SAP!$A$7=4,VLOOKUP(A111,SAP!$1:$1048576,7,FALSE)))))</f>
        <v>Docisk środkowy 8 41 R PIN</v>
      </c>
      <c r="C111" s="6">
        <f>2</f>
        <v>2</v>
      </c>
      <c r="E111" s="6">
        <f t="shared" si="10"/>
        <v>2</v>
      </c>
    </row>
    <row r="112" spans="1:9" s="6" customFormat="1" hidden="1" x14ac:dyDescent="0.25">
      <c r="A112" s="6">
        <f>IF(B92=1,A256,IF(B92=2,0,IF(B92=3,A257)))</f>
        <v>822393</v>
      </c>
      <c r="B112" s="6" t="str">
        <f>IF(SAP!$A$7=1,VLOOKUP(A112,SAP!$1:$1048576,2,FALSE),IF(SAP!$A$7=2,VLOOKUP(A112,SAP!$1:$1048576,5,FALSE),IF(SAP!$A$7=3,VLOOKUP(A112,SAP!$1:$1048576,6,FALSE),IF(SAP!$A$7=4,VLOOKUP(A112,SAP!$1:$1048576,7,FALSE)))))</f>
        <v>Trzpień p-wyw docisku środk. 34X8 PIN</v>
      </c>
      <c r="C112" s="6">
        <f>2</f>
        <v>2</v>
      </c>
      <c r="E112" s="6">
        <f t="shared" si="10"/>
        <v>2</v>
      </c>
    </row>
    <row r="113" spans="1:9" s="6" customFormat="1" hidden="1" x14ac:dyDescent="0.25">
      <c r="A113" s="6">
        <f>IF(B92=1,A259,IF(B92=2,0,IF(B92=3,A259)))</f>
        <v>810279</v>
      </c>
      <c r="B113" s="6" t="str">
        <f>IF(SAP!$A$7=1,VLOOKUP(A113,SAP!$1:$1048576,2,FALSE),IF(SAP!$A$7=2,VLOOKUP(A113,SAP!$1:$1048576,5,FALSE),IF(SAP!$A$7=3,VLOOKUP(A113,SAP!$1:$1048576,6,FALSE),IF(SAP!$A$7=4,VLOOKUP(A113,SAP!$1:$1048576,7,FALSE)))))</f>
        <v>Zaczep do docisku p-wyw.  MB KPL PIN</v>
      </c>
      <c r="C113" s="6">
        <f>2</f>
        <v>2</v>
      </c>
      <c r="E113" s="6">
        <f t="shared" si="10"/>
        <v>2</v>
      </c>
    </row>
    <row r="114" spans="1:9" s="6" customFormat="1" hidden="1" x14ac:dyDescent="0.25">
      <c r="A114" s="6">
        <f>IF(B92=1,A231,IF(B92=2,0,IF(B92=3,A231)))</f>
        <v>798225</v>
      </c>
      <c r="B114" s="6" t="str">
        <f>IF(SAP!$A$7=1,VLOOKUP(A114,SAP!$1:$1048576,2,FALSE),IF(SAP!$A$7=2,VLOOKUP(A114,SAP!$1:$1048576,5,FALSE),IF(SAP!$A$7=3,VLOOKUP(A114,SAP!$1:$1048576,6,FALSE),IF(SAP!$A$7=4,VLOOKUP(A114,SAP!$1:$1048576,7,FALSE)))))</f>
        <v>Zaczep p-wywBlok.bł.obsługiDr/PVC12.2PIN</v>
      </c>
      <c r="C114" s="6">
        <f>C231</f>
        <v>1</v>
      </c>
      <c r="E114" s="6">
        <f t="shared" si="10"/>
        <v>1</v>
      </c>
    </row>
    <row r="115" spans="1:9" s="6" customFormat="1" hidden="1" x14ac:dyDescent="0.25">
      <c r="A115" s="6">
        <f>IF(B92=1,A237,IF(B92=2,0,IF(B92=3,A237)))</f>
        <v>798226</v>
      </c>
      <c r="B115" s="6" t="str">
        <f>IF(SAP!$A$7=1,VLOOKUP(A115,SAP!$1:$1048576,2,FALSE),IF(SAP!$A$7=2,VLOOKUP(A115,SAP!$1:$1048576,5,FALSE),IF(SAP!$A$7=3,VLOOKUP(A115,SAP!$1:$1048576,6,FALSE),IF(SAP!$A$7=4,VLOOKUP(A115,SAP!$1:$1048576,7,FALSE)))))</f>
        <v>Zaczep p-wyw drewno/PVC 12.2 NIRO PIN</v>
      </c>
      <c r="C115" s="6">
        <f>E145</f>
        <v>3</v>
      </c>
      <c r="E115" s="6">
        <f t="shared" si="10"/>
        <v>3</v>
      </c>
    </row>
    <row r="116" spans="1:9" s="6" customFormat="1" hidden="1" x14ac:dyDescent="0.25">
      <c r="A116" s="6">
        <f>IF(B92=1,A241,IF(B92=2,0,IF(B92=3,A241)))</f>
        <v>635307</v>
      </c>
      <c r="B116" s="6" t="str">
        <f>IF(SAP!$A$7=1,VLOOKUP(A116,SAP!$1:$1048576,2,FALSE),IF(SAP!$A$7=2,VLOOKUP(A116,SAP!$1:$1048576,5,FALSE),IF(SAP!$A$7=3,VLOOKUP(A116,SAP!$1:$1048576,6,FALSE),IF(SAP!$A$7=4,VLOOKUP(A116,SAP!$1:$1048576,7,FALSE)))))</f>
        <v>Zderzak 14 PIN</v>
      </c>
      <c r="C116" s="6">
        <f>2</f>
        <v>2</v>
      </c>
      <c r="E116" s="6">
        <f t="shared" si="10"/>
        <v>2</v>
      </c>
    </row>
    <row r="117" spans="1:9" s="6" customFormat="1" hidden="1" x14ac:dyDescent="0.25">
      <c r="A117" s="6">
        <f>IF(B92=1,A245,IF(B92=2,0,IF(B92=3,A245)))</f>
        <v>800196</v>
      </c>
      <c r="B117" s="6" t="str">
        <f>IF(SAP!$A$7=1,VLOOKUP(A117,SAP!$1:$1048576,2,FALSE),IF(SAP!$A$7=2,VLOOKUP(A117,SAP!$1:$1048576,5,FALSE),IF(SAP!$A$7=3,VLOOKUP(A117,SAP!$1:$1048576,6,FALSE),IF(SAP!$A$7=4,VLOOKUP(A117,SAP!$1:$1048576,7,FALSE)))))</f>
        <v>Stoper do prowadnicy górnej PIN</v>
      </c>
      <c r="C117" s="6">
        <f>1</f>
        <v>1</v>
      </c>
      <c r="E117" s="6">
        <f t="shared" si="10"/>
        <v>1</v>
      </c>
    </row>
    <row r="118" spans="1:9" s="6" customFormat="1" hidden="1" x14ac:dyDescent="0.25">
      <c r="A118" s="6">
        <f>IF(B92=1,A246,IF(B92=2,0,IF(B92=3,0)))</f>
        <v>800197</v>
      </c>
      <c r="B118" s="6" t="str">
        <f>IF(SAP!$A$7=1,VLOOKUP(A118,SAP!$1:$1048576,2,FALSE),IF(SAP!$A$7=2,VLOOKUP(A118,SAP!$1:$1048576,5,FALSE),IF(SAP!$A$7=3,VLOOKUP(A118,SAP!$1:$1048576,6,FALSE),IF(SAP!$A$7=4,VLOOKUP(A118,SAP!$1:$1048576,7,FALSE)))))</f>
        <v>El. dyst. stopera prowadnicy górnej PIN</v>
      </c>
      <c r="C118" s="6">
        <f>1</f>
        <v>1</v>
      </c>
      <c r="E118" s="6">
        <f t="shared" si="10"/>
        <v>1</v>
      </c>
    </row>
    <row r="119" spans="1:9" s="6" customFormat="1" hidden="1" x14ac:dyDescent="0.25">
      <c r="A119" s="6">
        <f>IF(B92=1,D119,IF(B92=2,0,IF(B92=3,D119)))</f>
        <v>828482</v>
      </c>
      <c r="B119" s="6" t="str">
        <f>IF(SAP!$A$7=1,VLOOKUP(A119,SAP!$1:$1048576,2,FALSE),IF(SAP!$A$7=2,VLOOKUP(A119,SAP!$1:$1048576,5,FALSE),IF(SAP!$A$7=3,VLOOKUP(A119,SAP!$1:$1048576,6,FALSE),IF(SAP!$A$7=4,VLOOKUP(A119,SAP!$1:$1048576,7,FALSE)))))</f>
        <v>Osłona zacz. antywyw. MB R01.1 PIN</v>
      </c>
      <c r="C119" s="6">
        <f>C216+2</f>
        <v>7</v>
      </c>
      <c r="D119" s="6">
        <f>IF(E248=1,A260,IF(E248=2,A261,IF(E248=3,A262,IF(E248=4,A263))))</f>
        <v>828482</v>
      </c>
      <c r="E119" s="6">
        <f t="shared" si="10"/>
        <v>7</v>
      </c>
    </row>
    <row r="120" spans="1:9" s="6" customFormat="1" hidden="1" x14ac:dyDescent="0.25">
      <c r="A120" s="6">
        <f>IF(B92=1,A255,IF(B92=2,0,IF(B92=3,A255)))</f>
        <v>770965</v>
      </c>
      <c r="B120" s="6" t="str">
        <f>IF(SAP!$A$7=1,VLOOKUP(A120,SAP!$1:$1048576,2,FALSE),IF(SAP!$A$7=2,VLOOKUP(A120,SAP!$1:$1048576,5,FALSE),IF(SAP!$A$7=3,VLOOKUP(A120,SAP!$1:$1048576,6,FALSE),IF(SAP!$A$7=4,VLOOKUP(A120,SAP!$1:$1048576,7,FALSE)))))</f>
        <v>Blokada antyrozwierceniowa NT</v>
      </c>
      <c r="C120" s="6">
        <f>1</f>
        <v>1</v>
      </c>
      <c r="E120" s="6">
        <f t="shared" si="10"/>
        <v>1</v>
      </c>
    </row>
    <row r="121" spans="1:9" s="6" customFormat="1" hidden="1" x14ac:dyDescent="0.25">
      <c r="A121" s="6">
        <f>IF(B92=1,D121,IF(B92=2,0,IF(B92=3,D121)))</f>
        <v>780593</v>
      </c>
      <c r="B121" s="6" t="str">
        <f>IF(SAP!$A$7=1,VLOOKUP(A121,SAP!$1:$1048576,2,FALSE),IF(SAP!$A$7=2,VLOOKUP(A121,SAP!$1:$1048576,5,FALSE),IF(SAP!$A$7=3,VLOOKUP(A121,SAP!$1:$1048576,6,FALSE),IF(SAP!$A$7=4,VLOOKUP(A121,SAP!$1:$1048576,7,FALSE)))))</f>
        <v>Klamka R-line/klucz100Nm43mm200R01.1ALV</v>
      </c>
      <c r="C121" s="6">
        <f>1</f>
        <v>1</v>
      </c>
      <c r="D121" s="6">
        <f>IF(G357&lt;&gt;0,G357,IF(G357=0,"niemożliwe"))</f>
        <v>780593</v>
      </c>
      <c r="E121" s="6">
        <f t="shared" si="10"/>
        <v>1</v>
      </c>
      <c r="I121" s="6" t="str">
        <f>IF(D84=2,SAP!A130,IF(D84&lt;&gt;2," "))</f>
        <v xml:space="preserve"> </v>
      </c>
    </row>
    <row r="122" spans="1:9" s="6" customFormat="1" hidden="1" x14ac:dyDescent="0.25">
      <c r="A122" s="5"/>
      <c r="B122" s="5" t="str">
        <f>IF(SAP!$A$7=1,VLOOKUP(A122,SAP!$1:$1048576,2,FALSE),IF(SAP!$A$7=2,VLOOKUP(A122,SAP!$1:$1048576,5,FALSE),IF(SAP!$A$7=3,VLOOKUP(A122,SAP!$1:$1048576,6,FALSE),IF(SAP!$A$7=4,VLOOKUP(A122,SAP!$1:$1048576,7,FALSE)))))</f>
        <v>__</v>
      </c>
      <c r="C122" s="5">
        <f>1</f>
        <v>1</v>
      </c>
      <c r="D122" s="5"/>
      <c r="E122" s="5">
        <f t="shared" si="10"/>
        <v>0</v>
      </c>
      <c r="F122" s="5"/>
      <c r="G122" s="5"/>
      <c r="H122" s="5"/>
      <c r="I122" s="5">
        <f>IF(B92=1,D386,IF(B92=2,0,IF(B92=3,D386)))</f>
        <v>494466</v>
      </c>
    </row>
    <row r="123" spans="1:9" s="6" customFormat="1" hidden="1" x14ac:dyDescent="0.25">
      <c r="A123" s="12">
        <f>IF(B92=1,D379,IF(B92=2,0,IF(B92=3,D379)))</f>
        <v>0</v>
      </c>
      <c r="B123" s="6" t="str">
        <f>IF(SAP!$A$7=1,VLOOKUP(A123,SAP!$1:$1048576,2,FALSE),IF(SAP!$A$7=2,VLOOKUP(A123,SAP!$1:$1048576,5,FALSE),IF(SAP!$A$7=3,VLOOKUP(A123,SAP!$1:$1048576,6,FALSE),IF(SAP!$A$7=4,VLOOKUP(A123,SAP!$1:$1048576,7,FALSE)))))</f>
        <v>__</v>
      </c>
      <c r="C123" s="13">
        <f>IF(A123=0,0,IF(A123&lt;&gt;0,1))</f>
        <v>0</v>
      </c>
      <c r="E123" s="6">
        <f>IF(A123=0,0,IF(A123&lt;&gt;0,C123))</f>
        <v>0</v>
      </c>
    </row>
    <row r="124" spans="1:9" s="6" customFormat="1" hidden="1" x14ac:dyDescent="0.25">
      <c r="A124" s="98">
        <f>IF(A123=0,0,IF(A123&gt;0,A365))</f>
        <v>0</v>
      </c>
      <c r="B124" s="6" t="str">
        <f>IF(SAP!$A$7=1,VLOOKUP(A124,SAP!$1:$1048576,2,FALSE),IF(SAP!$A$7=2,VLOOKUP(A124,SAP!$1:$1048576,5,FALSE),IF(SAP!$A$7=3,VLOOKUP(A124,SAP!$1:$1048576,6,FALSE),IF(SAP!$A$7=4,VLOOKUP(A124,SAP!$1:$1048576,7,FALSE)))))</f>
        <v>__</v>
      </c>
      <c r="C124" s="13">
        <f>IF(A124=0,0,IF(A124&lt;&gt;0,1))</f>
        <v>0</v>
      </c>
      <c r="E124" s="6">
        <f>IF(A124=0,0,IF(A124&lt;&gt;0,C124))</f>
        <v>0</v>
      </c>
    </row>
    <row r="125" spans="1:9" s="6" customFormat="1" hidden="1" x14ac:dyDescent="0.25">
      <c r="A125" s="6">
        <f>IF(B92=1,D388,IF(B92=3,D388,IF(B92=2,0)))</f>
        <v>0</v>
      </c>
      <c r="B125" s="6" t="str">
        <f>IF(SAP!$A$7=1,VLOOKUP(A125,SAP!$1:$1048576,2,FALSE),IF(SAP!$A$7=2,VLOOKUP(A125,SAP!$1:$1048576,5,FALSE),IF(SAP!$A$7=3,VLOOKUP(A125,SAP!$1:$1048576,6,FALSE),IF(SAP!$A$7=4,VLOOKUP(A125,SAP!$1:$1048576,7,FALSE)))))</f>
        <v>__</v>
      </c>
      <c r="C125" s="6">
        <f>3</f>
        <v>3</v>
      </c>
      <c r="E125" s="6">
        <f>IF(A125=0,0,IF(A125&lt;&gt;0,C125))</f>
        <v>0</v>
      </c>
    </row>
    <row r="126" spans="1:9" s="6" customFormat="1" hidden="1" x14ac:dyDescent="0.25">
      <c r="A126" s="6">
        <f>IF(B92=1,D389,IF(B92=3,D389,IF(B92=2,0)))</f>
        <v>0</v>
      </c>
      <c r="B126" s="6" t="str">
        <f>IF(SAP!$A$7=1,VLOOKUP(A126,SAP!$1:$1048576,2,FALSE),IF(SAP!$A$7=2,VLOOKUP(A126,SAP!$1:$1048576,5,FALSE),IF(SAP!$A$7=3,VLOOKUP(A126,SAP!$1:$1048576,6,FALSE),IF(SAP!$A$7=4,VLOOKUP(A126,SAP!$1:$1048576,7,FALSE)))))</f>
        <v>__</v>
      </c>
      <c r="C126" s="6">
        <f>C105</f>
        <v>3</v>
      </c>
      <c r="E126" s="6">
        <f>IF(A126=0,0,IF(A126&lt;&gt;0,C126))</f>
        <v>0</v>
      </c>
    </row>
    <row r="127" spans="1:9" s="6" customFormat="1" hidden="1" x14ac:dyDescent="0.25">
      <c r="A127" s="6">
        <f>IF(B92=2,0,IF(B92=1,0,IF(B92=3,0)))</f>
        <v>0</v>
      </c>
      <c r="B127" s="6" t="str">
        <f>IF(SAP!$A$7=1,VLOOKUP(A127,SAP!$1:$1048576,2,FALSE),IF(SAP!$A$7=2,VLOOKUP(A127,SAP!$1:$1048576,5,FALSE),IF(SAP!$A$7=3,VLOOKUP(A127,SAP!$1:$1048576,6,FALSE),IF(SAP!$A$7=4,VLOOKUP(A127,SAP!$1:$1048576,7,FALSE)))))</f>
        <v>__</v>
      </c>
      <c r="C127" s="6">
        <f>IF(B92=2,1,IF(B92=1,0,IF(B92=3,0)))</f>
        <v>0</v>
      </c>
      <c r="E127" s="6">
        <f t="shared" si="10"/>
        <v>0</v>
      </c>
    </row>
    <row r="128" spans="1:9" s="6" customFormat="1" hidden="1" x14ac:dyDescent="0.25">
      <c r="A128" s="6">
        <f>IF(B92=2,0,IF(B92=1,0,IF(B92=3,0)))</f>
        <v>0</v>
      </c>
      <c r="B128" s="6" t="str">
        <f>IF(SAP!$A$7=1,VLOOKUP(A128,SAP!$1:$1048576,2,FALSE),IF(SAP!$A$7=2,VLOOKUP(A128,SAP!$1:$1048576,5,FALSE),IF(SAP!$A$7=3,VLOOKUP(A128,SAP!$1:$1048576,6,FALSE),IF(SAP!$A$7=4,VLOOKUP(A128,SAP!$1:$1048576,7,FALSE)))))</f>
        <v>__</v>
      </c>
      <c r="C128" s="6">
        <f>IF(B92=2,1,IF(B92=1,0,IF(B92=3,0)))</f>
        <v>0</v>
      </c>
      <c r="E128" s="6">
        <f t="shared" si="10"/>
        <v>0</v>
      </c>
    </row>
    <row r="129" spans="1:9" s="6" customFormat="1" hidden="1" x14ac:dyDescent="0.25">
      <c r="A129" s="6">
        <f>IF(B92=2,0,IF(B92=1,0,IF(B92=3,0)))</f>
        <v>0</v>
      </c>
      <c r="B129" s="6" t="str">
        <f>IF(SAP!$A$7=1,VLOOKUP(A129,SAP!$1:$1048576,2,FALSE),IF(SAP!$A$7=2,VLOOKUP(A129,SAP!$1:$1048576,5,FALSE),IF(SAP!$A$7=3,VLOOKUP(A129,SAP!$1:$1048576,6,FALSE),IF(SAP!$A$7=4,VLOOKUP(A129,SAP!$1:$1048576,7,FALSE)))))</f>
        <v>__</v>
      </c>
      <c r="C129" s="14">
        <f>ROUNDUP(IF(B92=2,(((2*D95)+(3*C95))/2100),IF(B92=1,0)),0)</f>
        <v>0</v>
      </c>
      <c r="D129" s="15" t="s">
        <v>93</v>
      </c>
      <c r="E129" s="6">
        <f t="shared" si="10"/>
        <v>0</v>
      </c>
    </row>
    <row r="130" spans="1:9" s="6" customFormat="1" hidden="1" x14ac:dyDescent="0.25">
      <c r="A130" s="6">
        <f>IF(B92=2,0,IF(B92=1,0,IF(B92=3,0)))</f>
        <v>0</v>
      </c>
      <c r="B130" s="6" t="str">
        <f>IF(SAP!$A$7=1,VLOOKUP(A130,SAP!$1:$1048576,2,FALSE),IF(SAP!$A$7=2,VLOOKUP(A130,SAP!$1:$1048576,5,FALSE),IF(SAP!$A$7=3,VLOOKUP(A130,SAP!$1:$1048576,6,FALSE),IF(SAP!$A$7=4,VLOOKUP(A130,SAP!$1:$1048576,7,FALSE)))))</f>
        <v>__</v>
      </c>
      <c r="C130" s="14">
        <f>IF(B92=2,(C95/1000),IF(B92=1,0,IF(B92=3,0)))</f>
        <v>0</v>
      </c>
      <c r="D130" s="15" t="s">
        <v>92</v>
      </c>
      <c r="E130" s="6">
        <f t="shared" si="10"/>
        <v>0</v>
      </c>
    </row>
    <row r="131" spans="1:9" s="6" customFormat="1" hidden="1" x14ac:dyDescent="0.25"/>
    <row r="132" spans="1:9" s="6" customFormat="1" hidden="1" x14ac:dyDescent="0.25">
      <c r="C132" s="14"/>
    </row>
    <row r="133" spans="1:9" s="6" customFormat="1" hidden="1" x14ac:dyDescent="0.25">
      <c r="C133" s="14"/>
    </row>
    <row r="134" spans="1:9" s="6" customFormat="1" hidden="1" x14ac:dyDescent="0.25"/>
    <row r="135" spans="1:9" s="6" customFormat="1" hidden="1" x14ac:dyDescent="0.25"/>
    <row r="136" spans="1:9" s="6" customFormat="1" hidden="1" x14ac:dyDescent="0.25">
      <c r="C136" s="6" t="s">
        <v>3</v>
      </c>
      <c r="D136" s="6" t="s">
        <v>1</v>
      </c>
      <c r="E136" s="6" t="s">
        <v>2</v>
      </c>
      <c r="F136" s="16" t="s">
        <v>4</v>
      </c>
      <c r="G136" s="6" t="s">
        <v>5</v>
      </c>
      <c r="H136" s="6" t="s">
        <v>6</v>
      </c>
    </row>
    <row r="137" spans="1:9" s="6" customFormat="1" hidden="1" x14ac:dyDescent="0.25">
      <c r="A137" s="6">
        <f>SAP!A181</f>
        <v>785921</v>
      </c>
      <c r="B137" s="6" t="str">
        <f>SAP!B181</f>
        <v>Zasuwn. KSR 690/263 D50 PIN</v>
      </c>
      <c r="C137" s="6">
        <f>C95</f>
        <v>2237</v>
      </c>
      <c r="D137" s="6">
        <v>600</v>
      </c>
      <c r="E137" s="6">
        <v>800</v>
      </c>
      <c r="F137" s="16">
        <f t="shared" ref="F137:F143" si="11">IF(C137&lt;D137,0,IF(C137&lt;=E137,1,IF(C137&gt;E137,0)))</f>
        <v>0</v>
      </c>
      <c r="G137" s="6">
        <f t="shared" ref="G137:G143" si="12">A137*F137</f>
        <v>0</v>
      </c>
      <c r="H137" s="6">
        <v>0</v>
      </c>
      <c r="I137" s="6">
        <f t="shared" ref="I137:I143" si="13">F137*H137</f>
        <v>0</v>
      </c>
    </row>
    <row r="138" spans="1:9" s="6" customFormat="1" hidden="1" x14ac:dyDescent="0.25">
      <c r="A138" s="6">
        <f>SAP!A182</f>
        <v>785922</v>
      </c>
      <c r="B138" s="6" t="str">
        <f>SAP!B182</f>
        <v>Zasuwn. KSR 890/413 D50 PIN</v>
      </c>
      <c r="C138" s="6">
        <f>C137</f>
        <v>2237</v>
      </c>
      <c r="D138" s="6">
        <v>801</v>
      </c>
      <c r="E138" s="6">
        <v>1000</v>
      </c>
      <c r="F138" s="16">
        <f t="shared" si="11"/>
        <v>0</v>
      </c>
      <c r="G138" s="6">
        <f t="shared" si="12"/>
        <v>0</v>
      </c>
      <c r="H138" s="6">
        <v>0</v>
      </c>
      <c r="I138" s="6">
        <f t="shared" si="13"/>
        <v>0</v>
      </c>
    </row>
    <row r="139" spans="1:9" s="6" customFormat="1" hidden="1" x14ac:dyDescent="0.25">
      <c r="A139" s="6">
        <f>SAP!A183</f>
        <v>785923</v>
      </c>
      <c r="B139" s="6" t="str">
        <f>SAP!B183</f>
        <v>Zasuwn. KSR 1090/513 1V D50 PIN</v>
      </c>
      <c r="C139" s="6">
        <f>C137</f>
        <v>2237</v>
      </c>
      <c r="D139" s="6">
        <v>1001</v>
      </c>
      <c r="E139" s="6">
        <v>1200</v>
      </c>
      <c r="F139" s="16">
        <f t="shared" si="11"/>
        <v>0</v>
      </c>
      <c r="G139" s="6">
        <f t="shared" si="12"/>
        <v>0</v>
      </c>
      <c r="H139" s="6">
        <v>1</v>
      </c>
      <c r="I139" s="6">
        <f t="shared" si="13"/>
        <v>0</v>
      </c>
    </row>
    <row r="140" spans="1:9" s="6" customFormat="1" hidden="1" x14ac:dyDescent="0.25">
      <c r="A140" s="6">
        <f>SAP!A184</f>
        <v>785924</v>
      </c>
      <c r="B140" s="6" t="str">
        <f>SAP!B184</f>
        <v>Zasuwn. KSR 1290/563 1V D50 PIN</v>
      </c>
      <c r="C140" s="6">
        <f>C137</f>
        <v>2237</v>
      </c>
      <c r="D140" s="6">
        <v>1201</v>
      </c>
      <c r="E140" s="6">
        <v>1600</v>
      </c>
      <c r="F140" s="16">
        <f t="shared" si="11"/>
        <v>0</v>
      </c>
      <c r="G140" s="6">
        <f t="shared" si="12"/>
        <v>0</v>
      </c>
      <c r="H140" s="6">
        <v>1</v>
      </c>
      <c r="I140" s="6">
        <f t="shared" si="13"/>
        <v>0</v>
      </c>
    </row>
    <row r="141" spans="1:9" s="6" customFormat="1" hidden="1" x14ac:dyDescent="0.25">
      <c r="A141" s="6">
        <f>SAP!A185</f>
        <v>785926</v>
      </c>
      <c r="B141" s="6" t="str">
        <f>SAP!B185</f>
        <v>Zasuwn. KSR 1690/563 1V D50 PIN</v>
      </c>
      <c r="C141" s="6">
        <f>C137</f>
        <v>2237</v>
      </c>
      <c r="D141" s="6">
        <v>1601</v>
      </c>
      <c r="E141" s="6">
        <v>1800</v>
      </c>
      <c r="F141" s="16">
        <f t="shared" si="11"/>
        <v>0</v>
      </c>
      <c r="G141" s="6">
        <f t="shared" si="12"/>
        <v>0</v>
      </c>
      <c r="H141" s="6">
        <v>1</v>
      </c>
      <c r="I141" s="6">
        <f t="shared" si="13"/>
        <v>0</v>
      </c>
    </row>
    <row r="142" spans="1:9" s="6" customFormat="1" hidden="1" x14ac:dyDescent="0.25">
      <c r="A142" s="6">
        <f>SAP!A186</f>
        <v>785927</v>
      </c>
      <c r="B142" s="6" t="str">
        <f>SAP!B186</f>
        <v>Zasuwn. KSR 1890/1000 2V D50 PIN</v>
      </c>
      <c r="C142" s="6">
        <f>C137</f>
        <v>2237</v>
      </c>
      <c r="D142" s="6">
        <v>1801</v>
      </c>
      <c r="E142" s="6">
        <v>2400</v>
      </c>
      <c r="F142" s="16">
        <f t="shared" si="11"/>
        <v>1</v>
      </c>
      <c r="G142" s="6">
        <f t="shared" si="12"/>
        <v>785927</v>
      </c>
      <c r="H142" s="6">
        <v>2</v>
      </c>
      <c r="I142" s="6">
        <f t="shared" si="13"/>
        <v>2</v>
      </c>
    </row>
    <row r="143" spans="1:9" s="6" customFormat="1" hidden="1" x14ac:dyDescent="0.25">
      <c r="A143" s="6">
        <f>SAP!A187</f>
        <v>785929</v>
      </c>
      <c r="B143" s="6" t="str">
        <f>SAP!B187</f>
        <v>Zasuwn. KSR 2290/1000 2V D50 PIN</v>
      </c>
      <c r="C143" s="6">
        <f>C137</f>
        <v>2237</v>
      </c>
      <c r="D143" s="6">
        <v>2401</v>
      </c>
      <c r="E143" s="6">
        <v>2500</v>
      </c>
      <c r="F143" s="16">
        <f t="shared" si="11"/>
        <v>0</v>
      </c>
      <c r="G143" s="6">
        <f t="shared" si="12"/>
        <v>0</v>
      </c>
      <c r="H143" s="6">
        <v>2</v>
      </c>
      <c r="I143" s="6">
        <f t="shared" si="13"/>
        <v>0</v>
      </c>
    </row>
    <row r="144" spans="1:9" s="6" customFormat="1" hidden="1" x14ac:dyDescent="0.25">
      <c r="A144" s="6" t="s">
        <v>28</v>
      </c>
      <c r="F144" s="17">
        <f>SUM(F137:F143)</f>
        <v>1</v>
      </c>
      <c r="G144" s="11">
        <f>SUM(G137:G143)</f>
        <v>785927</v>
      </c>
      <c r="I144" s="18">
        <f>SUM(I137:I143)</f>
        <v>2</v>
      </c>
    </row>
    <row r="145" spans="1:13" s="6" customFormat="1" hidden="1" x14ac:dyDescent="0.25">
      <c r="B145" s="5" t="str">
        <f>SAP!A108</f>
        <v>Zasuwnica  bez wkładki bębenkowej</v>
      </c>
      <c r="C145" s="11">
        <f>IF(C147=1,G144,IF(C147=2,G153))</f>
        <v>785927</v>
      </c>
      <c r="D145" s="6" t="s">
        <v>52</v>
      </c>
      <c r="E145" s="11">
        <f>IF(C147=1,I144+2,IF(C147=2,I153+2))-C114</f>
        <v>3</v>
      </c>
    </row>
    <row r="146" spans="1:13" s="6" customFormat="1" hidden="1" x14ac:dyDescent="0.25">
      <c r="B146" s="5" t="str">
        <f>SAP!A109</f>
        <v>Zasuwnica z dodatkową wkładką bębenkową</v>
      </c>
      <c r="C146" s="5"/>
    </row>
    <row r="147" spans="1:13" s="6" customFormat="1" hidden="1" x14ac:dyDescent="0.25">
      <c r="C147" s="11">
        <v>1</v>
      </c>
      <c r="J147" s="6" t="b">
        <f>IF(C147=2,1)</f>
        <v>0</v>
      </c>
      <c r="K147" s="6">
        <f>IF(C95&lt;=1800,1,IF(C95&gt;=1801,0))</f>
        <v>0</v>
      </c>
      <c r="L147" s="6">
        <f>K147*J147</f>
        <v>0</v>
      </c>
      <c r="M147" s="6" t="str">
        <f>IF(L147=0,"",IF(L147=1,"Uwaga! Zasuwnica z dodatkową wkładką tylko dla FFH powyżej 1801mm"))</f>
        <v/>
      </c>
    </row>
    <row r="148" spans="1:13" s="6" customFormat="1" hidden="1" x14ac:dyDescent="0.25">
      <c r="C148" s="6" t="s">
        <v>3</v>
      </c>
      <c r="D148" s="6" t="s">
        <v>1</v>
      </c>
      <c r="E148" s="6" t="s">
        <v>2</v>
      </c>
      <c r="F148" s="16" t="s">
        <v>4</v>
      </c>
      <c r="G148" s="6" t="s">
        <v>5</v>
      </c>
      <c r="H148" s="6" t="s">
        <v>6</v>
      </c>
    </row>
    <row r="149" spans="1:13" s="6" customFormat="1" hidden="1" x14ac:dyDescent="0.25">
      <c r="A149" s="6">
        <v>798218</v>
      </c>
      <c r="B149" s="6" t="str">
        <f>VLOOKUP(A149,SAP!1:1048576,2,FALSE)</f>
        <v>Zasuwn. KSR +PZ 1890/1000 2V D50 PIN</v>
      </c>
      <c r="C149" s="6">
        <f>C95</f>
        <v>2237</v>
      </c>
      <c r="D149" s="6">
        <v>1801</v>
      </c>
      <c r="E149" s="6">
        <v>2000</v>
      </c>
      <c r="F149" s="16">
        <f>IF(C149&lt;D149,0,IF(C149&lt;=E149,1,IF(C149&gt;E149,0)))</f>
        <v>0</v>
      </c>
      <c r="G149" s="6">
        <f>A149*F149</f>
        <v>0</v>
      </c>
      <c r="H149" s="6">
        <v>2</v>
      </c>
      <c r="I149" s="6">
        <f>F149*H149</f>
        <v>0</v>
      </c>
    </row>
    <row r="150" spans="1:13" s="6" customFormat="1" hidden="1" x14ac:dyDescent="0.25">
      <c r="A150" s="6">
        <v>798218</v>
      </c>
      <c r="B150" s="6" t="str">
        <f>VLOOKUP(A150,SAP!1:1048576,2,FALSE)</f>
        <v>Zasuwn. KSR +PZ 1890/1000 2V D50 PIN</v>
      </c>
      <c r="C150" s="6">
        <f>C149</f>
        <v>2237</v>
      </c>
      <c r="D150" s="6">
        <v>2001</v>
      </c>
      <c r="E150" s="6">
        <v>2200</v>
      </c>
      <c r="F150" s="16">
        <f>IF(C150&lt;D150,0,IF(C150&lt;=E150,1,IF(C150&gt;E150,0)))</f>
        <v>0</v>
      </c>
      <c r="G150" s="6">
        <f>A150*F150</f>
        <v>0</v>
      </c>
      <c r="H150" s="6">
        <v>2</v>
      </c>
      <c r="I150" s="6">
        <f>F150*H150</f>
        <v>0</v>
      </c>
    </row>
    <row r="151" spans="1:13" s="6" customFormat="1" hidden="1" x14ac:dyDescent="0.25">
      <c r="A151" s="6">
        <v>798218</v>
      </c>
      <c r="B151" s="6" t="str">
        <f>VLOOKUP(A151,SAP!1:1048576,2,FALSE)</f>
        <v>Zasuwn. KSR +PZ 1890/1000 2V D50 PIN</v>
      </c>
      <c r="C151" s="6">
        <f>C149</f>
        <v>2237</v>
      </c>
      <c r="D151" s="6">
        <v>2201</v>
      </c>
      <c r="E151" s="6">
        <v>2400</v>
      </c>
      <c r="F151" s="16">
        <f>IF(C151&lt;D151,0,IF(C151&lt;=E151,1,IF(C151&gt;E151,0)))</f>
        <v>1</v>
      </c>
      <c r="G151" s="6">
        <f>A151*F151</f>
        <v>798218</v>
      </c>
      <c r="H151" s="6">
        <v>2</v>
      </c>
      <c r="I151" s="6">
        <f>F151*H151</f>
        <v>2</v>
      </c>
    </row>
    <row r="152" spans="1:13" s="6" customFormat="1" hidden="1" x14ac:dyDescent="0.25">
      <c r="A152" s="6">
        <v>798219</v>
      </c>
      <c r="B152" s="6" t="str">
        <f>VLOOKUP(A152,SAP!1:1048576,2,FALSE)</f>
        <v>Zasuwn. KSR +PZ 2290/1000 2V D50 PIN</v>
      </c>
      <c r="C152" s="6">
        <f>C149</f>
        <v>2237</v>
      </c>
      <c r="D152" s="6">
        <v>2401</v>
      </c>
      <c r="E152" s="6">
        <v>2500</v>
      </c>
      <c r="F152" s="16">
        <f>IF(C152&lt;D152,0,IF(C152&lt;=E152,1,IF(C152&gt;E152,0)))</f>
        <v>0</v>
      </c>
      <c r="G152" s="6">
        <f>A152*F152</f>
        <v>0</v>
      </c>
      <c r="H152" s="6">
        <v>2</v>
      </c>
      <c r="I152" s="6">
        <f>F152*H152</f>
        <v>0</v>
      </c>
    </row>
    <row r="153" spans="1:13" s="6" customFormat="1" hidden="1" x14ac:dyDescent="0.25">
      <c r="A153" s="6" t="s">
        <v>27</v>
      </c>
      <c r="F153" s="17">
        <f>SUM(F149:F152)</f>
        <v>1</v>
      </c>
      <c r="G153" s="11">
        <f>SUM(G149:G152)</f>
        <v>798218</v>
      </c>
      <c r="I153" s="18">
        <f>SUM(I149:I152)</f>
        <v>2</v>
      </c>
    </row>
    <row r="154" spans="1:13" s="6" customFormat="1" hidden="1" x14ac:dyDescent="0.25">
      <c r="C154" s="6" t="s">
        <v>3</v>
      </c>
      <c r="D154" s="6" t="s">
        <v>1</v>
      </c>
      <c r="E154" s="6" t="s">
        <v>2</v>
      </c>
      <c r="F154" s="16" t="s">
        <v>4</v>
      </c>
      <c r="G154" s="6" t="s">
        <v>5</v>
      </c>
      <c r="H154" s="6" t="s">
        <v>6</v>
      </c>
    </row>
    <row r="155" spans="1:13" s="6" customFormat="1" hidden="1" x14ac:dyDescent="0.25">
      <c r="A155" s="6">
        <v>798028</v>
      </c>
      <c r="B155" s="6" t="s">
        <v>212</v>
      </c>
      <c r="C155" s="6">
        <f>C95</f>
        <v>2237</v>
      </c>
      <c r="D155" s="6">
        <v>1072</v>
      </c>
      <c r="E155" s="6">
        <v>1200</v>
      </c>
      <c r="F155" s="16">
        <f>IF(C155&lt;D155,0,IF(C155&lt;=E155,1,IF(C155&gt;E155,0)))</f>
        <v>0</v>
      </c>
      <c r="G155" s="6">
        <f>A155*F155</f>
        <v>0</v>
      </c>
      <c r="H155" s="6">
        <v>1</v>
      </c>
      <c r="I155" s="6">
        <f t="shared" ref="I155:I159" si="14">F155*H155</f>
        <v>0</v>
      </c>
    </row>
    <row r="156" spans="1:13" s="6" customFormat="1" hidden="1" x14ac:dyDescent="0.25">
      <c r="A156" s="6">
        <v>798030</v>
      </c>
      <c r="B156" s="6" t="s">
        <v>213</v>
      </c>
      <c r="C156" s="6">
        <f>C155</f>
        <v>2237</v>
      </c>
      <c r="D156" s="6">
        <v>1201</v>
      </c>
      <c r="E156" s="6">
        <v>1600</v>
      </c>
      <c r="F156" s="16">
        <f>IF(C156&lt;D156,0,IF(C156&lt;=E156,1,IF(C156&gt;E156,0)))</f>
        <v>0</v>
      </c>
      <c r="G156" s="6">
        <f>A156*F156</f>
        <v>0</v>
      </c>
      <c r="H156" s="6">
        <v>1</v>
      </c>
      <c r="I156" s="6">
        <f t="shared" si="14"/>
        <v>0</v>
      </c>
    </row>
    <row r="157" spans="1:13" s="6" customFormat="1" hidden="1" x14ac:dyDescent="0.25">
      <c r="A157" s="6">
        <v>798031</v>
      </c>
      <c r="B157" s="6" t="s">
        <v>214</v>
      </c>
      <c r="C157" s="6">
        <f t="shared" ref="C157:C159" si="15">C156</f>
        <v>2237</v>
      </c>
      <c r="D157" s="6">
        <v>1601</v>
      </c>
      <c r="E157" s="6">
        <v>1800</v>
      </c>
      <c r="F157" s="16">
        <f>IF(C157&lt;D157,0,IF(C157&lt;=E157,1,IF(C157&gt;E157,0)))</f>
        <v>0</v>
      </c>
      <c r="G157" s="6">
        <f>A157*F157</f>
        <v>0</v>
      </c>
      <c r="H157" s="6">
        <v>1</v>
      </c>
      <c r="I157" s="6">
        <f t="shared" si="14"/>
        <v>0</v>
      </c>
    </row>
    <row r="158" spans="1:13" s="6" customFormat="1" hidden="1" x14ac:dyDescent="0.25">
      <c r="A158" s="6">
        <v>798032</v>
      </c>
      <c r="B158" s="6" t="s">
        <v>215</v>
      </c>
      <c r="C158" s="6">
        <f t="shared" si="15"/>
        <v>2237</v>
      </c>
      <c r="D158" s="6">
        <v>1801</v>
      </c>
      <c r="E158" s="6">
        <v>2400</v>
      </c>
      <c r="F158" s="16">
        <f>IF(C158&lt;D158,0,IF(C158&lt;=E158,1,IF(C158&gt;E158,0)))</f>
        <v>1</v>
      </c>
      <c r="G158" s="6">
        <f>A158*F158</f>
        <v>798032</v>
      </c>
      <c r="H158" s="6">
        <v>2</v>
      </c>
      <c r="I158" s="6">
        <f t="shared" si="14"/>
        <v>2</v>
      </c>
    </row>
    <row r="159" spans="1:13" s="6" customFormat="1" hidden="1" x14ac:dyDescent="0.25">
      <c r="A159" s="6">
        <v>798033</v>
      </c>
      <c r="B159" s="6" t="s">
        <v>216</v>
      </c>
      <c r="C159" s="6">
        <f t="shared" si="15"/>
        <v>2237</v>
      </c>
      <c r="D159" s="6">
        <v>2401</v>
      </c>
      <c r="E159" s="6">
        <v>2500</v>
      </c>
      <c r="F159" s="16">
        <f>IF(C159&lt;D159,0,IF(C159&lt;=E159,1,IF(C159&gt;E159,0)))</f>
        <v>0</v>
      </c>
      <c r="G159" s="6">
        <f>A159*F159</f>
        <v>0</v>
      </c>
      <c r="H159" s="6">
        <v>2</v>
      </c>
      <c r="I159" s="6">
        <f t="shared" si="14"/>
        <v>0</v>
      </c>
    </row>
    <row r="160" spans="1:13" s="6" customFormat="1" hidden="1" x14ac:dyDescent="0.25">
      <c r="F160" s="17">
        <f>SUM(F155:F159)</f>
        <v>1</v>
      </c>
      <c r="G160" s="11">
        <f>SUM(G155:G159)</f>
        <v>798032</v>
      </c>
      <c r="I160" s="18">
        <f>SUM(I155:I159)</f>
        <v>2</v>
      </c>
    </row>
    <row r="161" spans="1:9" s="6" customFormat="1" hidden="1" x14ac:dyDescent="0.25">
      <c r="C161" s="11">
        <f>IF(C147=1,G160,IF(C147=2,G169))</f>
        <v>798032</v>
      </c>
      <c r="D161" s="6" t="s">
        <v>52</v>
      </c>
      <c r="E161" s="11"/>
    </row>
    <row r="162" spans="1:9" s="6" customFormat="1" hidden="1" x14ac:dyDescent="0.25">
      <c r="C162" s="5"/>
    </row>
    <row r="163" spans="1:9" s="6" customFormat="1" hidden="1" x14ac:dyDescent="0.25">
      <c r="C163" s="11"/>
    </row>
    <row r="164" spans="1:9" s="6" customFormat="1" hidden="1" x14ac:dyDescent="0.25">
      <c r="C164" s="6" t="s">
        <v>3</v>
      </c>
      <c r="D164" s="6" t="s">
        <v>1</v>
      </c>
      <c r="E164" s="6" t="s">
        <v>2</v>
      </c>
      <c r="F164" s="16" t="s">
        <v>4</v>
      </c>
      <c r="G164" s="6" t="s">
        <v>5</v>
      </c>
      <c r="H164" s="6" t="s">
        <v>6</v>
      </c>
    </row>
    <row r="165" spans="1:9" s="6" customFormat="1" hidden="1" x14ac:dyDescent="0.25">
      <c r="A165" s="6">
        <v>798034</v>
      </c>
      <c r="B165" s="6" t="s">
        <v>217</v>
      </c>
      <c r="C165" s="6">
        <f>C95</f>
        <v>2237</v>
      </c>
      <c r="D165" s="6">
        <v>1801</v>
      </c>
      <c r="E165" s="6">
        <v>2000</v>
      </c>
      <c r="F165" s="16">
        <f>IF(C165&lt;D165,0,IF(C165&lt;=E165,1,IF(C165&gt;E165,0)))</f>
        <v>0</v>
      </c>
      <c r="G165" s="6">
        <f>A165*F165</f>
        <v>0</v>
      </c>
      <c r="H165" s="6">
        <v>2</v>
      </c>
      <c r="I165" s="6">
        <f>F165*H165</f>
        <v>0</v>
      </c>
    </row>
    <row r="166" spans="1:9" s="6" customFormat="1" hidden="1" x14ac:dyDescent="0.25">
      <c r="A166" s="6">
        <v>798034</v>
      </c>
      <c r="B166" s="6" t="s">
        <v>217</v>
      </c>
      <c r="C166" s="6">
        <f>C165</f>
        <v>2237</v>
      </c>
      <c r="D166" s="6">
        <v>2001</v>
      </c>
      <c r="E166" s="6">
        <v>2200</v>
      </c>
      <c r="F166" s="16">
        <f>IF(C166&lt;D166,0,IF(C166&lt;=E166,1,IF(C166&gt;E166,0)))</f>
        <v>0</v>
      </c>
      <c r="G166" s="6">
        <f>A166*F166</f>
        <v>0</v>
      </c>
      <c r="H166" s="6">
        <v>2</v>
      </c>
      <c r="I166" s="6">
        <f>F166*H166</f>
        <v>0</v>
      </c>
    </row>
    <row r="167" spans="1:9" s="6" customFormat="1" hidden="1" x14ac:dyDescent="0.25">
      <c r="A167" s="6">
        <v>798034</v>
      </c>
      <c r="B167" s="6" t="s">
        <v>217</v>
      </c>
      <c r="C167" s="6">
        <f>C165</f>
        <v>2237</v>
      </c>
      <c r="D167" s="6">
        <v>2201</v>
      </c>
      <c r="E167" s="6">
        <v>2400</v>
      </c>
      <c r="F167" s="16">
        <f>IF(C167&lt;D167,0,IF(C167&lt;=E167,1,IF(C167&gt;E167,0)))</f>
        <v>1</v>
      </c>
      <c r="G167" s="6">
        <f>A167*F167</f>
        <v>798034</v>
      </c>
      <c r="H167" s="6">
        <v>2</v>
      </c>
      <c r="I167" s="6">
        <f>F167*H167</f>
        <v>2</v>
      </c>
    </row>
    <row r="168" spans="1:9" s="6" customFormat="1" hidden="1" x14ac:dyDescent="0.25">
      <c r="A168" s="6">
        <v>798055</v>
      </c>
      <c r="B168" s="6" t="s">
        <v>218</v>
      </c>
      <c r="C168" s="6">
        <f>C165</f>
        <v>2237</v>
      </c>
      <c r="D168" s="6">
        <v>2401</v>
      </c>
      <c r="E168" s="6">
        <v>2500</v>
      </c>
      <c r="F168" s="16">
        <f>IF(C168&lt;D168,0,IF(C168&lt;=E168,1,IF(C168&gt;E168,0)))</f>
        <v>0</v>
      </c>
      <c r="G168" s="6">
        <f>A168*F168</f>
        <v>0</v>
      </c>
      <c r="H168" s="6">
        <v>2</v>
      </c>
      <c r="I168" s="6">
        <f>F168*H168</f>
        <v>0</v>
      </c>
    </row>
    <row r="169" spans="1:9" s="6" customFormat="1" hidden="1" x14ac:dyDescent="0.25">
      <c r="F169" s="17">
        <f>SUM(F165:F168)</f>
        <v>1</v>
      </c>
      <c r="G169" s="11">
        <f>SUM(G165:G168)</f>
        <v>798034</v>
      </c>
      <c r="I169" s="18">
        <f>SUM(I165:I168)</f>
        <v>2</v>
      </c>
    </row>
    <row r="170" spans="1:9" s="6" customFormat="1" hidden="1" x14ac:dyDescent="0.25">
      <c r="I170" s="19"/>
    </row>
    <row r="171" spans="1:9" s="6" customFormat="1" hidden="1" x14ac:dyDescent="0.25">
      <c r="I171" s="19"/>
    </row>
    <row r="172" spans="1:9" s="6" customFormat="1" hidden="1" x14ac:dyDescent="0.25">
      <c r="I172" s="19"/>
    </row>
    <row r="173" spans="1:9" s="6" customFormat="1" hidden="1" x14ac:dyDescent="0.25">
      <c r="I173" s="19"/>
    </row>
    <row r="174" spans="1:9" s="6" customFormat="1" hidden="1" x14ac:dyDescent="0.25">
      <c r="I174" s="19"/>
    </row>
    <row r="175" spans="1:9" s="6" customFormat="1" hidden="1" x14ac:dyDescent="0.25">
      <c r="C175" s="6" t="s">
        <v>3</v>
      </c>
      <c r="D175" s="6" t="s">
        <v>1</v>
      </c>
      <c r="E175" s="6" t="s">
        <v>2</v>
      </c>
      <c r="F175" s="16" t="s">
        <v>4</v>
      </c>
      <c r="G175" s="6" t="s">
        <v>5</v>
      </c>
      <c r="I175" s="19"/>
    </row>
    <row r="176" spans="1:9" s="6" customFormat="1" hidden="1" x14ac:dyDescent="0.25">
      <c r="A176" s="6">
        <v>308267</v>
      </c>
      <c r="B176" s="6" t="str">
        <f>VLOOKUP(A176,SAP!1:1048576,2,FALSE)</f>
        <v>Zamkn. środ. 200 łącz NTi</v>
      </c>
      <c r="C176" s="6">
        <f>C95</f>
        <v>2237</v>
      </c>
      <c r="D176" s="6">
        <v>1401</v>
      </c>
      <c r="E176" s="6">
        <v>1600</v>
      </c>
      <c r="F176" s="16">
        <f>IF(C176&lt;D176,0,IF(C176&lt;=E176,1,IF(C176&gt;E176,0)))</f>
        <v>0</v>
      </c>
      <c r="G176" s="6">
        <f>A176*F176</f>
        <v>0</v>
      </c>
      <c r="I176" s="19"/>
    </row>
    <row r="177" spans="1:21" s="6" customFormat="1" hidden="1" x14ac:dyDescent="0.25">
      <c r="A177" s="6">
        <v>308267</v>
      </c>
      <c r="B177" s="6" t="str">
        <f>VLOOKUP(A177,'Schemat A RC2'!1:1048576,2,FALSE)</f>
        <v>Zamkn. środ. 200 łącz NTi</v>
      </c>
      <c r="C177" s="6">
        <f>C95</f>
        <v>2237</v>
      </c>
      <c r="D177" s="6">
        <v>2001</v>
      </c>
      <c r="E177" s="6">
        <v>2200</v>
      </c>
      <c r="F177" s="16">
        <f>IF(C177&lt;D177,0,IF(C177&lt;=E177,1,IF(C177&gt;E177,0)))</f>
        <v>0</v>
      </c>
      <c r="G177" s="6">
        <f>A177*F177</f>
        <v>0</v>
      </c>
      <c r="I177" s="19"/>
    </row>
    <row r="178" spans="1:21" s="6" customFormat="1" hidden="1" x14ac:dyDescent="0.25">
      <c r="A178" s="6">
        <v>297858</v>
      </c>
      <c r="B178" s="6" t="str">
        <f>VLOOKUP(A178,SAP!1:1048576,2,FALSE)</f>
        <v>Przedłużka zasuwn. NT MV400 bez zaczepu</v>
      </c>
      <c r="C178" s="6">
        <f>C95</f>
        <v>2237</v>
      </c>
      <c r="D178" s="6">
        <v>2201</v>
      </c>
      <c r="E178" s="6">
        <v>2400</v>
      </c>
      <c r="F178" s="16">
        <f>IF(C178&lt;D178,0,IF(C178&lt;=E178,1,IF(C178&gt;E178,0)))</f>
        <v>1</v>
      </c>
      <c r="G178" s="6">
        <f>A178*F178</f>
        <v>297858</v>
      </c>
      <c r="I178" s="19"/>
    </row>
    <row r="179" spans="1:21" s="6" customFormat="1" hidden="1" x14ac:dyDescent="0.25">
      <c r="A179" s="6">
        <v>308267</v>
      </c>
      <c r="B179" s="6" t="str">
        <f>VLOOKUP(A179,SAP!1:1048576,2,FALSE)</f>
        <v>Zamkn. środ. 200 łącz NTi</v>
      </c>
      <c r="C179" s="6">
        <f>C95</f>
        <v>2237</v>
      </c>
      <c r="D179" s="6">
        <v>2401</v>
      </c>
      <c r="E179" s="6">
        <v>2500</v>
      </c>
      <c r="F179" s="16">
        <f>IF(C179&lt;D179,0,IF(C179&lt;=E179,1,IF(C179&gt;E179,0)))</f>
        <v>0</v>
      </c>
      <c r="G179" s="6">
        <f>A179*F179</f>
        <v>0</v>
      </c>
      <c r="I179" s="19"/>
    </row>
    <row r="180" spans="1:21" s="6" customFormat="1" hidden="1" x14ac:dyDescent="0.25">
      <c r="F180" s="17">
        <f>SUM(F176:F179)</f>
        <v>1</v>
      </c>
      <c r="G180" s="11">
        <f>SUM(G176:G179)</f>
        <v>297858</v>
      </c>
      <c r="I180" s="19"/>
    </row>
    <row r="181" spans="1:21" s="6" customFormat="1" hidden="1" x14ac:dyDescent="0.25">
      <c r="I181" s="19"/>
    </row>
    <row r="182" spans="1:21" s="6" customFormat="1" hidden="1" x14ac:dyDescent="0.25">
      <c r="C182" s="6" t="s">
        <v>0</v>
      </c>
      <c r="D182" s="6" t="s">
        <v>1</v>
      </c>
      <c r="E182" s="6" t="s">
        <v>2</v>
      </c>
      <c r="F182" s="16" t="s">
        <v>4</v>
      </c>
      <c r="G182" s="6" t="s">
        <v>5</v>
      </c>
      <c r="H182" s="6" t="s">
        <v>6</v>
      </c>
    </row>
    <row r="183" spans="1:21" s="6" customFormat="1" hidden="1" x14ac:dyDescent="0.25">
      <c r="A183" s="6">
        <v>572665</v>
      </c>
      <c r="B183" s="6" t="str">
        <f>VLOOKUP(A183,SAP!1:1048576,2,FALSE)</f>
        <v>Łącznik M 344 1V NT</v>
      </c>
      <c r="C183" s="6">
        <f>D95</f>
        <v>1425</v>
      </c>
      <c r="D183" s="6">
        <v>710</v>
      </c>
      <c r="E183" s="6">
        <v>760</v>
      </c>
      <c r="F183" s="16">
        <f t="shared" ref="F183:F188" si="16">IF(C183&lt;D183,0,IF(C183&lt;=E183,1,IF(C183&gt;E183,0)))</f>
        <v>0</v>
      </c>
      <c r="G183" s="6">
        <f t="shared" ref="G183:G188" si="17">A183*F183</f>
        <v>0</v>
      </c>
      <c r="H183" s="6">
        <v>1</v>
      </c>
      <c r="I183" s="6">
        <f t="shared" ref="I183:I188" si="18">H183*F183</f>
        <v>0</v>
      </c>
    </row>
    <row r="184" spans="1:21" s="6" customFormat="1" hidden="1" x14ac:dyDescent="0.25">
      <c r="A184" s="6">
        <v>245729</v>
      </c>
      <c r="B184" s="6" t="str">
        <f>VLOOKUP(A184,SAP!1:1048576,2,FALSE)</f>
        <v>Zamkn.śr.okien łuk. NT 501-700</v>
      </c>
      <c r="C184" s="6">
        <f>C183</f>
        <v>1425</v>
      </c>
      <c r="D184" s="6">
        <v>761</v>
      </c>
      <c r="E184" s="6">
        <v>860</v>
      </c>
      <c r="F184" s="16">
        <f t="shared" si="16"/>
        <v>0</v>
      </c>
      <c r="G184" s="6">
        <f t="shared" si="17"/>
        <v>0</v>
      </c>
      <c r="H184" s="6">
        <v>0</v>
      </c>
      <c r="I184" s="6">
        <f t="shared" si="18"/>
        <v>0</v>
      </c>
    </row>
    <row r="185" spans="1:21" s="6" customFormat="1" hidden="1" x14ac:dyDescent="0.25">
      <c r="A185" s="6">
        <v>603442</v>
      </c>
      <c r="B185" s="6" t="str">
        <f>VLOOKUP(A185,SAP!1:1048576,2,FALSE)</f>
        <v>Zamk. środkowe góra 600-800 NT ALV</v>
      </c>
      <c r="C185" s="6">
        <f>C184</f>
        <v>1425</v>
      </c>
      <c r="D185" s="6">
        <v>861</v>
      </c>
      <c r="E185" s="6">
        <v>1060</v>
      </c>
      <c r="F185" s="16">
        <f t="shared" si="16"/>
        <v>0</v>
      </c>
      <c r="G185" s="6">
        <f t="shared" si="17"/>
        <v>0</v>
      </c>
      <c r="H185" s="6">
        <v>0</v>
      </c>
      <c r="I185" s="6">
        <f t="shared" si="18"/>
        <v>0</v>
      </c>
    </row>
    <row r="186" spans="1:21" s="6" customFormat="1" hidden="1" x14ac:dyDescent="0.25">
      <c r="A186" s="6">
        <v>603444</v>
      </c>
      <c r="B186" s="6" t="str">
        <f>VLOOKUP(A186,SAP!1:1048576,2,FALSE)</f>
        <v>Zamk. środkowe góra 801-1000 NT ALV</v>
      </c>
      <c r="C186" s="6">
        <f t="shared" ref="C186:C188" si="19">C185</f>
        <v>1425</v>
      </c>
      <c r="D186" s="6">
        <v>1061</v>
      </c>
      <c r="E186" s="6">
        <v>1260</v>
      </c>
      <c r="F186" s="16">
        <f t="shared" si="16"/>
        <v>0</v>
      </c>
      <c r="G186" s="6">
        <f t="shared" si="17"/>
        <v>0</v>
      </c>
      <c r="H186" s="6">
        <v>1</v>
      </c>
      <c r="I186" s="6">
        <f t="shared" si="18"/>
        <v>0</v>
      </c>
    </row>
    <row r="187" spans="1:21" s="6" customFormat="1" hidden="1" x14ac:dyDescent="0.25">
      <c r="A187" s="6">
        <v>603447</v>
      </c>
      <c r="B187" s="6" t="str">
        <f>VLOOKUP(A187,SAP!1:1048576,2,FALSE)</f>
        <v>Zamk. środkowe góra 1001-1200 NT ALV</v>
      </c>
      <c r="C187" s="6">
        <f t="shared" si="19"/>
        <v>1425</v>
      </c>
      <c r="D187" s="6">
        <v>1261</v>
      </c>
      <c r="E187" s="6">
        <v>1460</v>
      </c>
      <c r="F187" s="16">
        <f t="shared" si="16"/>
        <v>1</v>
      </c>
      <c r="G187" s="6">
        <f t="shared" si="17"/>
        <v>603447</v>
      </c>
      <c r="H187" s="6">
        <v>1</v>
      </c>
      <c r="I187" s="6">
        <f t="shared" si="18"/>
        <v>1</v>
      </c>
    </row>
    <row r="188" spans="1:21" s="6" customFormat="1" hidden="1" x14ac:dyDescent="0.25">
      <c r="A188" s="6">
        <v>603462</v>
      </c>
      <c r="B188" s="6" t="str">
        <f>VLOOKUP(A188,SAP!1:1048576,2,FALSE)</f>
        <v>Zamk. środkowe góra 1201-1400 NT ALV</v>
      </c>
      <c r="C188" s="6">
        <f t="shared" si="19"/>
        <v>1425</v>
      </c>
      <c r="D188" s="6">
        <v>1461</v>
      </c>
      <c r="E188" s="6">
        <v>1500</v>
      </c>
      <c r="F188" s="16">
        <f t="shared" si="16"/>
        <v>0</v>
      </c>
      <c r="G188" s="6">
        <f t="shared" si="17"/>
        <v>0</v>
      </c>
      <c r="H188" s="6">
        <v>1</v>
      </c>
      <c r="I188" s="6">
        <f t="shared" si="18"/>
        <v>0</v>
      </c>
    </row>
    <row r="189" spans="1:21" s="6" customFormat="1" hidden="1" x14ac:dyDescent="0.25">
      <c r="A189" s="6" t="s">
        <v>27</v>
      </c>
      <c r="F189" s="17">
        <f>SUM(F183:F188)</f>
        <v>1</v>
      </c>
      <c r="G189" s="20">
        <f>SUM(G183:G188)</f>
        <v>603447</v>
      </c>
      <c r="I189" s="21">
        <f>SUM(I183:I188)</f>
        <v>1</v>
      </c>
    </row>
    <row r="190" spans="1:21" s="6" customFormat="1" hidden="1" x14ac:dyDescent="0.25"/>
    <row r="191" spans="1:21" s="6" customFormat="1" hidden="1" x14ac:dyDescent="0.25">
      <c r="A191" s="18"/>
      <c r="B191" s="18"/>
      <c r="C191" s="18" t="s">
        <v>3</v>
      </c>
      <c r="D191" s="18" t="s">
        <v>1</v>
      </c>
      <c r="E191" s="18" t="s">
        <v>2</v>
      </c>
      <c r="F191" s="22" t="s">
        <v>4</v>
      </c>
      <c r="G191" s="18" t="s">
        <v>5</v>
      </c>
      <c r="H191" s="18" t="s">
        <v>6</v>
      </c>
      <c r="I191" s="18"/>
      <c r="J191" s="18" t="s">
        <v>1</v>
      </c>
      <c r="K191" s="18" t="s">
        <v>2</v>
      </c>
      <c r="L191" s="22" t="s">
        <v>4</v>
      </c>
      <c r="M191" s="18" t="s">
        <v>5</v>
      </c>
      <c r="N191" s="18" t="s">
        <v>6</v>
      </c>
      <c r="O191" s="18"/>
      <c r="P191" s="18" t="s">
        <v>1</v>
      </c>
      <c r="Q191" s="18" t="s">
        <v>2</v>
      </c>
      <c r="R191" s="22" t="s">
        <v>4</v>
      </c>
      <c r="S191" s="18" t="s">
        <v>5</v>
      </c>
      <c r="T191" s="18" t="s">
        <v>6</v>
      </c>
      <c r="U191" s="18"/>
    </row>
    <row r="192" spans="1:21" s="6" customFormat="1" hidden="1" x14ac:dyDescent="0.25">
      <c r="A192" s="18">
        <v>450821</v>
      </c>
      <c r="B192" s="18" t="str">
        <f>VLOOKUP(A192,SAP!1:1048576,2,FALSE)</f>
        <v>Zamkn. środ. 200/E łącz NT</v>
      </c>
      <c r="C192" s="18">
        <f>IF($C$222=FALSE,$C$95,IF($C$222=TRUE,$C$95-130))</f>
        <v>2237</v>
      </c>
      <c r="D192" s="18">
        <v>1072</v>
      </c>
      <c r="E192" s="18">
        <v>1300</v>
      </c>
      <c r="F192" s="22">
        <f>IF(C192&lt;D192,0,IF(C192&lt;=E192,1,IF(C192&gt;E192,0,IF(C192&lt;=2500,2))))</f>
        <v>0</v>
      </c>
      <c r="G192" s="18">
        <f>A192*F192</f>
        <v>0</v>
      </c>
      <c r="H192" s="18">
        <v>1</v>
      </c>
      <c r="I192" s="18">
        <f>F192*H192</f>
        <v>0</v>
      </c>
      <c r="J192" s="18">
        <v>1501</v>
      </c>
      <c r="K192" s="18">
        <v>1700</v>
      </c>
      <c r="L192" s="22">
        <f>IF(C192&lt;J192,0,IF(C192&lt;=K192,1,IF(C192&gt;K192,0)))</f>
        <v>0</v>
      </c>
      <c r="M192" s="18">
        <f>L192*A192</f>
        <v>0</v>
      </c>
      <c r="N192" s="18">
        <v>1</v>
      </c>
      <c r="O192" s="18">
        <f t="shared" ref="O192:O195" si="20">N192*L192</f>
        <v>0</v>
      </c>
      <c r="P192" s="18"/>
      <c r="Q192" s="18"/>
      <c r="R192" s="22"/>
      <c r="S192" s="18"/>
      <c r="T192" s="18"/>
      <c r="U192" s="18">
        <f t="shared" ref="U192:U194" si="21">T192*R192</f>
        <v>0</v>
      </c>
    </row>
    <row r="193" spans="1:21" s="6" customFormat="1" hidden="1" x14ac:dyDescent="0.25">
      <c r="A193" s="18">
        <v>255280</v>
      </c>
      <c r="B193" s="18" t="str">
        <f>VLOOKUP(A193,SAP!1:1048576,2,FALSE)</f>
        <v>Zamkn. środkowe 1E NT MV400</v>
      </c>
      <c r="C193" s="18">
        <f>IF($C$222=FALSE,$C$95,IF($C$222=TRUE,$C$95-130))</f>
        <v>2237</v>
      </c>
      <c r="D193" s="18">
        <v>1301</v>
      </c>
      <c r="E193" s="18">
        <v>1500</v>
      </c>
      <c r="F193" s="22">
        <f>IF(C193&lt;D193,0,IF(C193&lt;=E193,1,IF(C193&gt;E193,0,IF(C193&lt;=2500,2))))</f>
        <v>0</v>
      </c>
      <c r="G193" s="18">
        <f>A193*F193</f>
        <v>0</v>
      </c>
      <c r="H193" s="18">
        <v>1</v>
      </c>
      <c r="I193" s="18">
        <f t="shared" ref="I193:I194" si="22">F193*H193</f>
        <v>0</v>
      </c>
      <c r="J193" s="18">
        <v>1701</v>
      </c>
      <c r="K193" s="18">
        <v>1900</v>
      </c>
      <c r="L193" s="22">
        <f>IF(C193&lt;J193,0,IF(C193&lt;=K193,1,IF(C193&gt;K193,0)))</f>
        <v>0</v>
      </c>
      <c r="M193" s="18">
        <f>L193*A193</f>
        <v>0</v>
      </c>
      <c r="N193" s="18">
        <v>1</v>
      </c>
      <c r="O193" s="18">
        <f t="shared" si="20"/>
        <v>0</v>
      </c>
      <c r="P193" s="18">
        <v>2101</v>
      </c>
      <c r="Q193" s="18">
        <v>2300</v>
      </c>
      <c r="R193" s="22">
        <f>IF(C193&lt;P193,0,IF(C193&lt;=Q193,1,IF(C193&gt;Q193,0)))</f>
        <v>1</v>
      </c>
      <c r="S193" s="18">
        <f>R193*A193</f>
        <v>255280</v>
      </c>
      <c r="T193" s="18">
        <v>1</v>
      </c>
      <c r="U193" s="18">
        <f t="shared" si="21"/>
        <v>1</v>
      </c>
    </row>
    <row r="194" spans="1:21" s="6" customFormat="1" hidden="1" x14ac:dyDescent="0.25">
      <c r="A194" s="18">
        <v>280346</v>
      </c>
      <c r="B194" s="18" t="str">
        <f>VLOOKUP(A194,SAP!1:1048576,2,FALSE)</f>
        <v>Zamkn. środkowe 1E NT MV400 łączone</v>
      </c>
      <c r="C194" s="18">
        <f>IF($C$222=FALSE,$C$95,IF($C$222=TRUE,$C$95-130))</f>
        <v>2237</v>
      </c>
      <c r="D194" s="18">
        <v>1501</v>
      </c>
      <c r="E194" s="18">
        <v>2500</v>
      </c>
      <c r="F194" s="22">
        <f>IF(C194&lt;D194,0,IF(C194&lt;=E194,1,IF(C194&gt;E194,0,IF(C194&lt;=2500,2))))</f>
        <v>1</v>
      </c>
      <c r="G194" s="18">
        <f>A194*F194</f>
        <v>280346</v>
      </c>
      <c r="H194" s="18">
        <f>IF(C194&lt;=2100,1,IF(C194&gt;2100,2))</f>
        <v>2</v>
      </c>
      <c r="I194" s="18">
        <f t="shared" si="22"/>
        <v>2</v>
      </c>
      <c r="J194" s="18"/>
      <c r="K194" s="18"/>
      <c r="L194" s="22"/>
      <c r="M194" s="18">
        <f>L194*A194</f>
        <v>0</v>
      </c>
      <c r="N194" s="18"/>
      <c r="O194" s="18"/>
      <c r="P194" s="18"/>
      <c r="Q194" s="18"/>
      <c r="R194" s="22"/>
      <c r="S194" s="18"/>
      <c r="T194" s="18"/>
      <c r="U194" s="18">
        <f t="shared" si="21"/>
        <v>0</v>
      </c>
    </row>
    <row r="195" spans="1:21" s="6" customFormat="1" hidden="1" x14ac:dyDescent="0.25">
      <c r="A195" s="18">
        <v>255281</v>
      </c>
      <c r="B195" s="18" t="str">
        <f>VLOOKUP(A195,SAP!1:1048576,2,FALSE)</f>
        <v>Zamkn. środkowe 1E NT MV600</v>
      </c>
      <c r="C195" s="18">
        <f>IF($C$222=FALSE,$C$95,IF($C$222=TRUE,$C$95-130))</f>
        <v>2237</v>
      </c>
      <c r="D195" s="18">
        <v>2001</v>
      </c>
      <c r="E195" s="18">
        <v>2200</v>
      </c>
      <c r="F195" s="22"/>
      <c r="G195" s="18"/>
      <c r="H195" s="18"/>
      <c r="I195" s="18"/>
      <c r="J195" s="18">
        <v>1901</v>
      </c>
      <c r="K195" s="18">
        <v>2100</v>
      </c>
      <c r="L195" s="22">
        <f>IF(C195&lt;J195,0,IF(C195&lt;=K195,1,IF(C195&gt;K195,0)))</f>
        <v>0</v>
      </c>
      <c r="M195" s="18">
        <f>L195*A195</f>
        <v>0</v>
      </c>
      <c r="N195" s="18">
        <v>1</v>
      </c>
      <c r="O195" s="18">
        <f t="shared" si="20"/>
        <v>0</v>
      </c>
      <c r="P195" s="18">
        <v>2301</v>
      </c>
      <c r="Q195" s="18">
        <v>2500</v>
      </c>
      <c r="R195" s="22">
        <f>IF(C195&lt;P195,0,IF(C195&lt;=Q195,1,IF(C195&gt;Q195,0)))</f>
        <v>0</v>
      </c>
      <c r="S195" s="18">
        <f>R195*A195</f>
        <v>0</v>
      </c>
      <c r="T195" s="18">
        <v>1</v>
      </c>
      <c r="U195" s="18">
        <f>T195*R195</f>
        <v>0</v>
      </c>
    </row>
    <row r="196" spans="1:21" s="6" customFormat="1" hidden="1" x14ac:dyDescent="0.25">
      <c r="F196" s="17">
        <f>SUM(F192:F195)</f>
        <v>1</v>
      </c>
      <c r="G196" s="23">
        <f>SUM(G192:G195)</f>
        <v>280346</v>
      </c>
      <c r="I196" s="24">
        <f>SUM(I192:I195)</f>
        <v>2</v>
      </c>
      <c r="L196" s="25">
        <f>SUM(L192:L195)</f>
        <v>0</v>
      </c>
      <c r="M196" s="23">
        <f>SUM(M191:M195)</f>
        <v>0</v>
      </c>
      <c r="O196" s="26">
        <f>SUM(O191:O195)</f>
        <v>0</v>
      </c>
      <c r="P196" s="19"/>
      <c r="Q196" s="19"/>
      <c r="R196" s="27">
        <f>SUM(R192:R195)</f>
        <v>1</v>
      </c>
      <c r="S196" s="23">
        <f>SUM(S193:S195)</f>
        <v>255280</v>
      </c>
      <c r="T196" s="19"/>
      <c r="U196" s="26">
        <f>SUM(U192:U195)</f>
        <v>1</v>
      </c>
    </row>
    <row r="197" spans="1:21" s="6" customFormat="1" hidden="1" x14ac:dyDescent="0.25"/>
    <row r="198" spans="1:21" s="6" customFormat="1" hidden="1" x14ac:dyDescent="0.25">
      <c r="A198" s="6">
        <v>260272</v>
      </c>
      <c r="B198" s="6" t="str">
        <f>VLOOKUP(A198,SAP!1:1048576,2,FALSE)</f>
        <v>Narożnik Ku/r NT/1V</v>
      </c>
      <c r="C198" s="11">
        <v>2</v>
      </c>
      <c r="Q198" s="6" t="s">
        <v>43</v>
      </c>
      <c r="R198" s="11">
        <f>SUM(I196,O196,U196)+2</f>
        <v>5</v>
      </c>
    </row>
    <row r="199" spans="1:21" s="6" customFormat="1" hidden="1" x14ac:dyDescent="0.25">
      <c r="A199" s="6">
        <v>260275</v>
      </c>
      <c r="B199" s="6" t="str">
        <f>VLOOKUP(A199,SAP!1:1048576,2,FALSE)</f>
        <v>Narożnik NT/1E</v>
      </c>
      <c r="C199" s="11">
        <v>2</v>
      </c>
    </row>
    <row r="200" spans="1:21" s="6" customFormat="1" hidden="1" x14ac:dyDescent="0.25"/>
    <row r="201" spans="1:21" s="6" customFormat="1" hidden="1" x14ac:dyDescent="0.25"/>
    <row r="202" spans="1:21" s="6" customFormat="1" hidden="1" x14ac:dyDescent="0.25"/>
    <row r="203" spans="1:21" s="6" customFormat="1" hidden="1" x14ac:dyDescent="0.25">
      <c r="C203" s="5" t="str">
        <f>SAP!A64</f>
        <v>Lewe --&gt;</v>
      </c>
    </row>
    <row r="204" spans="1:21" s="6" customFormat="1" hidden="1" x14ac:dyDescent="0.25">
      <c r="C204" s="5" t="str">
        <f>SAP!A65</f>
        <v>Prawe &lt;--</v>
      </c>
    </row>
    <row r="205" spans="1:21" s="6" customFormat="1" hidden="1" x14ac:dyDescent="0.25">
      <c r="C205" s="6" t="s">
        <v>32</v>
      </c>
      <c r="D205" s="6" t="s">
        <v>4</v>
      </c>
      <c r="E205" s="6" t="s">
        <v>31</v>
      </c>
    </row>
    <row r="206" spans="1:21" s="6" customFormat="1" hidden="1" x14ac:dyDescent="0.25">
      <c r="A206" s="6">
        <v>762909</v>
      </c>
      <c r="B206" s="6" t="str">
        <f>VLOOKUP(A206,SAP!1:1048576,2,FALSE)</f>
        <v>Wózek 8 41 L PIN</v>
      </c>
    </row>
    <row r="207" spans="1:21" s="6" customFormat="1" hidden="1" x14ac:dyDescent="0.25">
      <c r="A207" s="6">
        <v>762910</v>
      </c>
      <c r="B207" s="6" t="str">
        <f>VLOOKUP(A207,SAP!1:1048576,2,FALSE)</f>
        <v>Wózek 8 41 R PIN</v>
      </c>
    </row>
    <row r="208" spans="1:21" s="6" customFormat="1" hidden="1" x14ac:dyDescent="0.25">
      <c r="A208" s="28">
        <v>797726</v>
      </c>
      <c r="B208" s="5" t="str">
        <f>VLOOKUP(A208,SAP!1:1048576,2,FALSE)</f>
        <v xml:space="preserve">Wózek DR 8 41 L PIN </v>
      </c>
      <c r="C208" s="5" t="s">
        <v>77</v>
      </c>
    </row>
    <row r="209" spans="1:4" s="6" customFormat="1" hidden="1" x14ac:dyDescent="0.25">
      <c r="A209" s="28">
        <v>797727</v>
      </c>
      <c r="B209" s="5" t="str">
        <f>VLOOKUP(A209,SAP!1:1048576,2,FALSE)</f>
        <v xml:space="preserve">Wózek DR 8 41 R PIN </v>
      </c>
      <c r="C209" s="5" t="s">
        <v>77</v>
      </c>
    </row>
    <row r="210" spans="1:4" s="6" customFormat="1" hidden="1" x14ac:dyDescent="0.25">
      <c r="C210" s="29">
        <v>1</v>
      </c>
      <c r="D210" s="6" t="s">
        <v>85</v>
      </c>
    </row>
    <row r="211" spans="1:4" s="6" customFormat="1" hidden="1" x14ac:dyDescent="0.25">
      <c r="A211" s="6">
        <v>762911</v>
      </c>
      <c r="B211" s="6" t="str">
        <f>VLOOKUP(A211,SAP!1:1048576,2,FALSE)</f>
        <v>Jednostka ster. 8 41 L PIN</v>
      </c>
    </row>
    <row r="212" spans="1:4" s="6" customFormat="1" hidden="1" x14ac:dyDescent="0.25">
      <c r="A212" s="6">
        <v>762912</v>
      </c>
      <c r="B212" s="6" t="str">
        <f>VLOOKUP(A212,SAP!1:1048576,2,FALSE)</f>
        <v>Jednostka ster. 8 41 R PIN</v>
      </c>
    </row>
    <row r="213" spans="1:4" s="6" customFormat="1" hidden="1" x14ac:dyDescent="0.25">
      <c r="A213" s="5">
        <v>797728</v>
      </c>
      <c r="B213" s="5" t="str">
        <f>VLOOKUP(A213,SAP!1:1048576,2,FALSE)</f>
        <v>Jednostka ster. DR 8 41 L PIN</v>
      </c>
      <c r="C213" s="5" t="s">
        <v>77</v>
      </c>
    </row>
    <row r="214" spans="1:4" s="6" customFormat="1" hidden="1" x14ac:dyDescent="0.25">
      <c r="A214" s="5">
        <v>797729</v>
      </c>
      <c r="B214" s="5" t="str">
        <f>VLOOKUP(A214,SAP!1:1048576,2,FALSE)</f>
        <v>Jednostka ster. DR 8 41 R PIN</v>
      </c>
      <c r="C214" s="5" t="s">
        <v>77</v>
      </c>
    </row>
    <row r="215" spans="1:4" s="6" customFormat="1" hidden="1" x14ac:dyDescent="0.25"/>
    <row r="216" spans="1:4" s="6" customFormat="1" hidden="1" x14ac:dyDescent="0.25">
      <c r="A216" s="6">
        <v>762913</v>
      </c>
      <c r="B216" s="6" t="str">
        <f>VLOOKUP(A216,SAP!1:1048576,2,FALSE)</f>
        <v>Docisk środkowy 8 41 L PIN</v>
      </c>
      <c r="C216" s="11">
        <f>R198</f>
        <v>5</v>
      </c>
      <c r="D216" s="6" t="s">
        <v>86</v>
      </c>
    </row>
    <row r="217" spans="1:4" s="6" customFormat="1" hidden="1" x14ac:dyDescent="0.25">
      <c r="A217" s="6">
        <v>762914</v>
      </c>
      <c r="B217" s="6" t="str">
        <f>VLOOKUP(A217,SAP!1:1048576,2,FALSE)</f>
        <v>Docisk środkowy 8 41 R PIN</v>
      </c>
    </row>
    <row r="218" spans="1:4" s="6" customFormat="1" hidden="1" x14ac:dyDescent="0.25">
      <c r="A218" s="5">
        <v>797730</v>
      </c>
      <c r="B218" s="5" t="str">
        <f>VLOOKUP(A218,SAP!1:1048576,2,FALSE)</f>
        <v>Docisk środkowy DR 8 41 L PIN</v>
      </c>
      <c r="C218" s="5" t="s">
        <v>77</v>
      </c>
    </row>
    <row r="219" spans="1:4" s="6" customFormat="1" hidden="1" x14ac:dyDescent="0.25">
      <c r="A219" s="5">
        <v>797732</v>
      </c>
      <c r="B219" s="5" t="str">
        <f>VLOOKUP(A219,SAP!1:1048576,2,FALSE)</f>
        <v>Docisk środkowy DR 8 41 R PIN</v>
      </c>
      <c r="C219" s="5" t="s">
        <v>77</v>
      </c>
    </row>
    <row r="220" spans="1:4" s="6" customFormat="1" hidden="1" x14ac:dyDescent="0.25"/>
    <row r="221" spans="1:4" s="6" customFormat="1" hidden="1" x14ac:dyDescent="0.25">
      <c r="A221" s="6">
        <v>764350</v>
      </c>
      <c r="B221" s="6" t="str">
        <f>VLOOKUP(A221,SAP!1:1048576,2,FALSE)</f>
        <v>Zamkn. środkowe 1E NTN MV130 łączone</v>
      </c>
      <c r="C221" s="6">
        <f>8</f>
        <v>8</v>
      </c>
    </row>
    <row r="222" spans="1:4" s="6" customFormat="1" hidden="1" x14ac:dyDescent="0.25"/>
    <row r="223" spans="1:4" s="6" customFormat="1" hidden="1" x14ac:dyDescent="0.25">
      <c r="A223" s="5">
        <v>771375</v>
      </c>
      <c r="B223" s="5" t="str">
        <f>VLOOKUP(A223,SAP!1:1048576,2,FALSE)</f>
        <v>Trzpień docisku środkowego 34.4 PIN Holz</v>
      </c>
      <c r="C223" s="11">
        <f>C216</f>
        <v>5</v>
      </c>
    </row>
    <row r="224" spans="1:4" s="6" customFormat="1" hidden="1" x14ac:dyDescent="0.25">
      <c r="A224" s="6">
        <v>809614</v>
      </c>
      <c r="B224" s="6" t="str">
        <f>VLOOKUP(A224,SAP!1:1048576,2,FALSE)</f>
        <v>Trzpień docisku środkowego 38.4 PIN Gealan</v>
      </c>
    </row>
    <row r="225" spans="1:4" s="6" customFormat="1" hidden="1" x14ac:dyDescent="0.25">
      <c r="A225" s="6">
        <v>809612</v>
      </c>
      <c r="B225" s="6" t="str">
        <f>VLOOKUP(A225,SAP!1:1048576,2,FALSE)</f>
        <v>Trzpień docisku środkowego 32.8 PIN Aluplast</v>
      </c>
    </row>
    <row r="226" spans="1:4" s="6" customFormat="1" hidden="1" x14ac:dyDescent="0.25"/>
    <row r="227" spans="1:4" s="6" customFormat="1" hidden="1" x14ac:dyDescent="0.25"/>
    <row r="228" spans="1:4" s="6" customFormat="1" hidden="1" x14ac:dyDescent="0.25">
      <c r="A228" s="6">
        <v>793493</v>
      </c>
      <c r="B228" s="6" t="str">
        <f>VLOOKUP(A228,SAP!1:1048576,2,FALSE)</f>
        <v>Zaczep docisku MV-SEB</v>
      </c>
      <c r="C228" s="11">
        <f>C223</f>
        <v>5</v>
      </c>
      <c r="D228" s="6" t="s">
        <v>49</v>
      </c>
    </row>
    <row r="229" spans="1:4" s="6" customFormat="1" hidden="1" x14ac:dyDescent="0.25">
      <c r="A229" s="5">
        <v>798223</v>
      </c>
      <c r="B229" s="5" t="str">
        <f>VLOOKUP(A229,SAP!1:1048576,2,FALSE)</f>
        <v>Zaczep docisku MV-SEB Holz</v>
      </c>
      <c r="C229" s="5"/>
      <c r="D229" s="5" t="s">
        <v>50</v>
      </c>
    </row>
    <row r="230" spans="1:4" s="6" customFormat="1" hidden="1" x14ac:dyDescent="0.25"/>
    <row r="231" spans="1:4" s="6" customFormat="1" hidden="1" x14ac:dyDescent="0.25">
      <c r="A231" s="6">
        <v>798225</v>
      </c>
      <c r="B231" s="6" t="str">
        <f>VLOOKUP(A231,SAP!1:1048576,2,FALSE)</f>
        <v>Zaczep p-wywBlok.bł.obsługiDr/PVC12.2PIN</v>
      </c>
      <c r="C231" s="6">
        <f>IF(C95&lt;1000,0,IF(C95&gt;=1001,1))</f>
        <v>1</v>
      </c>
    </row>
    <row r="232" spans="1:4" s="6" customFormat="1" hidden="1" x14ac:dyDescent="0.25">
      <c r="A232" s="6">
        <v>788175</v>
      </c>
      <c r="B232" s="6" t="s">
        <v>341</v>
      </c>
    </row>
    <row r="233" spans="1:4" s="6" customFormat="1" hidden="1" x14ac:dyDescent="0.25"/>
    <row r="234" spans="1:4" s="6" customFormat="1" hidden="1" x14ac:dyDescent="0.25">
      <c r="A234" s="6">
        <v>0</v>
      </c>
      <c r="B234" s="6" t="s">
        <v>40</v>
      </c>
    </row>
    <row r="235" spans="1:4" s="6" customFormat="1" hidden="1" x14ac:dyDescent="0.25"/>
    <row r="236" spans="1:4" s="6" customFormat="1" hidden="1" x14ac:dyDescent="0.25">
      <c r="A236" s="6">
        <v>744579</v>
      </c>
      <c r="B236" s="6" t="str">
        <f>VLOOKUP(A236,SAP!1:1048576,2,FALSE)</f>
        <v>Zaczep p-wyw PVC 12.2 PIN</v>
      </c>
    </row>
    <row r="237" spans="1:4" s="6" customFormat="1" hidden="1" x14ac:dyDescent="0.25">
      <c r="A237" s="129">
        <v>798226</v>
      </c>
      <c r="B237" s="6" t="str">
        <f>VLOOKUP(A237,SAP!A135:B445,2,FALSE)</f>
        <v>Zaczep p-wyw drewno/PVC 12.2 NIRO PIN</v>
      </c>
      <c r="C237" s="129" t="s">
        <v>1453</v>
      </c>
    </row>
    <row r="238" spans="1:4" s="6" customFormat="1" hidden="1" x14ac:dyDescent="0.25">
      <c r="A238" s="5">
        <v>798224</v>
      </c>
      <c r="B238" s="5" t="str">
        <f>VLOOKUP(A238,SAP!1:1048576,2,FALSE)</f>
        <v>Zaczep p-wyw drewno L</v>
      </c>
      <c r="C238" s="5" t="s">
        <v>77</v>
      </c>
    </row>
    <row r="239" spans="1:4" s="6" customFormat="1" hidden="1" x14ac:dyDescent="0.25">
      <c r="A239" s="5">
        <v>798245</v>
      </c>
      <c r="B239" s="5" t="str">
        <f>VLOOKUP(A239,SAP!1:1048576,2,FALSE)</f>
        <v>Zaczep p-wyw drewno R</v>
      </c>
      <c r="C239" s="5" t="s">
        <v>77</v>
      </c>
    </row>
    <row r="240" spans="1:4" s="6" customFormat="1" hidden="1" x14ac:dyDescent="0.25">
      <c r="A240" s="30"/>
      <c r="B240" s="30"/>
      <c r="C240" s="30"/>
    </row>
    <row r="241" spans="1:5" s="6" customFormat="1" hidden="1" x14ac:dyDescent="0.25">
      <c r="A241" s="6">
        <v>635307</v>
      </c>
      <c r="B241" s="6" t="str">
        <f>VLOOKUP(A241,SAP!1:1048576,2,FALSE)</f>
        <v>Zderzak 14 PIN</v>
      </c>
    </row>
    <row r="242" spans="1:5" s="6" customFormat="1" hidden="1" x14ac:dyDescent="0.25"/>
    <row r="243" spans="1:5" s="6" customFormat="1" hidden="1" x14ac:dyDescent="0.25">
      <c r="A243" s="6">
        <v>635183</v>
      </c>
      <c r="B243" s="6" t="str">
        <f>VLOOKUP(A243,SAP!1:1048576,2,FALSE)</f>
        <v>Odbojnik gumowy 21x8 RAL9005 Inowa</v>
      </c>
    </row>
    <row r="244" spans="1:5" s="6" customFormat="1" hidden="1" x14ac:dyDescent="0.25">
      <c r="A244" s="5">
        <v>798249</v>
      </c>
      <c r="B244" s="5" t="str">
        <f>VLOOKUP(A244,SAP!1:1048576,2,FALSE)</f>
        <v>Odbojnik gumowy 21X11.5 RAL 9005 Holz</v>
      </c>
      <c r="C244" s="5" t="s">
        <v>77</v>
      </c>
    </row>
    <row r="245" spans="1:5" s="6" customFormat="1" hidden="1" x14ac:dyDescent="0.25">
      <c r="A245" s="6">
        <v>800196</v>
      </c>
      <c r="B245" s="6" t="str">
        <f>VLOOKUP($A$245,SAP!1:1048576,2,0)</f>
        <v>Stoper do prowadnicy górnej PIN</v>
      </c>
    </row>
    <row r="246" spans="1:5" s="6" customFormat="1" hidden="1" x14ac:dyDescent="0.25">
      <c r="A246" s="6">
        <v>800197</v>
      </c>
      <c r="B246" s="6" t="str">
        <f>VLOOKUP(A246,SAP!1:1048576,2,0)</f>
        <v>El. dyst. stopera prowadnicy górnej PIN</v>
      </c>
    </row>
    <row r="247" spans="1:5" s="6" customFormat="1" hidden="1" x14ac:dyDescent="0.25"/>
    <row r="248" spans="1:5" s="6" customFormat="1" hidden="1" x14ac:dyDescent="0.25">
      <c r="A248" s="98">
        <v>819632</v>
      </c>
      <c r="B248" s="6" t="str">
        <f>VLOOKUP(A248,SAP!A134:G409,2,FALSE)</f>
        <v>Osłona MB R01.1 PIN</v>
      </c>
      <c r="C248" s="6" t="str">
        <f>SAP!A113</f>
        <v>R01.1 naturalny srebrny</v>
      </c>
      <c r="E248" s="11">
        <v>1</v>
      </c>
    </row>
    <row r="249" spans="1:5" s="6" customFormat="1" hidden="1" x14ac:dyDescent="0.25">
      <c r="A249" s="98">
        <v>819631</v>
      </c>
      <c r="B249" s="6" t="str">
        <f>VLOOKUP(A249,SAP!A135:G409,2,FALSE)</f>
        <v>Osłona MB R05.3 PIN</v>
      </c>
      <c r="C249" s="6" t="str">
        <f>SAP!A112</f>
        <v>R05.3 średni brąz</v>
      </c>
    </row>
    <row r="250" spans="1:5" s="6" customFormat="1" hidden="1" x14ac:dyDescent="0.25">
      <c r="A250" s="6">
        <v>798979</v>
      </c>
      <c r="B250" s="6" t="str">
        <f>VLOOKUP(A250,SAP!1:1048576,2,FALSE)</f>
        <v>Osłona MB R06.2 PIN</v>
      </c>
      <c r="C250" s="6" t="str">
        <f>SAP!A110</f>
        <v>R06.2 czarny</v>
      </c>
    </row>
    <row r="251" spans="1:5" s="6" customFormat="1" hidden="1" x14ac:dyDescent="0.25">
      <c r="A251" s="6">
        <v>808054</v>
      </c>
      <c r="B251" s="6" t="str">
        <f>VLOOKUP(A251,SAP!1:1048576,2,FALSE)</f>
        <v>Osłona MB R07.2 PIN</v>
      </c>
      <c r="C251" s="6" t="str">
        <f>SAP!A111</f>
        <v>R07.2 biały</v>
      </c>
    </row>
    <row r="252" spans="1:5" s="6" customFormat="1" hidden="1" x14ac:dyDescent="0.25"/>
    <row r="253" spans="1:5" s="6" customFormat="1" hidden="1" x14ac:dyDescent="0.25">
      <c r="A253" s="130">
        <v>833688</v>
      </c>
      <c r="B253" s="6" t="str">
        <f>VLOOKUP(A253,SAP!A135:B451,2,0)</f>
        <v>Zaczep p-wyw RC2 sł.środkowy AluplastPIN</v>
      </c>
    </row>
    <row r="254" spans="1:5" s="6" customFormat="1" hidden="1" x14ac:dyDescent="0.25">
      <c r="A254" s="130">
        <v>828318</v>
      </c>
      <c r="B254" s="6" t="str">
        <f>VLOOKUP(A254,SAP!A136:B452,2,0)</f>
        <v>Zaczep p-wyw RC2 sł.środkowy Gealan PIN</v>
      </c>
    </row>
    <row r="255" spans="1:5" s="6" customFormat="1" hidden="1" x14ac:dyDescent="0.25">
      <c r="A255" s="130">
        <v>770965</v>
      </c>
      <c r="B255" s="6" t="str">
        <f>VLOOKUP(A255,SAP!A137:B453,2,0)</f>
        <v>Blokada antyrozwierceniowa NT</v>
      </c>
    </row>
    <row r="256" spans="1:5" s="6" customFormat="1" hidden="1" x14ac:dyDescent="0.25">
      <c r="A256" s="130">
        <v>822393</v>
      </c>
      <c r="B256" s="6" t="str">
        <f>VLOOKUP(A256,SAP!A138:B454,2,0)</f>
        <v>Trzpień p-wyw docisku środk. 34X8 PIN</v>
      </c>
    </row>
    <row r="257" spans="1:2" s="6" customFormat="1" hidden="1" x14ac:dyDescent="0.25">
      <c r="A257" s="130">
        <v>820048</v>
      </c>
      <c r="B257" s="6" t="str">
        <f>VLOOKUP(A257,SAP!A139:B455,2,0)</f>
        <v>Trzpień p-wyw docisku środk. 38X8 PIN</v>
      </c>
    </row>
    <row r="258" spans="1:2" s="6" customFormat="1" hidden="1" x14ac:dyDescent="0.25"/>
    <row r="259" spans="1:2" s="6" customFormat="1" hidden="1" x14ac:dyDescent="0.25">
      <c r="A259" s="129">
        <v>810279</v>
      </c>
      <c r="B259" s="6" t="str">
        <f>VLOOKUP(A259,SAP!A141:B457,2,0)</f>
        <v>Zaczep do docisku p-wyw.  MB KPL PIN</v>
      </c>
    </row>
    <row r="260" spans="1:2" s="6" customFormat="1" hidden="1" x14ac:dyDescent="0.25">
      <c r="A260" s="129">
        <v>828482</v>
      </c>
      <c r="B260" s="6" t="str">
        <f>VLOOKUP(A260,SAP!A142:B458,2,0)</f>
        <v>Osłona zacz. antywyw. MB R01.1 PIN</v>
      </c>
    </row>
    <row r="261" spans="1:2" s="6" customFormat="1" hidden="1" x14ac:dyDescent="0.25">
      <c r="A261" s="129">
        <v>828483</v>
      </c>
      <c r="B261" s="6" t="str">
        <f>VLOOKUP(A261,SAP!A143:B459,2,0)</f>
        <v>Osłona zacz. antywyw. MB R05.3 PIN</v>
      </c>
    </row>
    <row r="262" spans="1:2" s="6" customFormat="1" hidden="1" x14ac:dyDescent="0.25">
      <c r="A262" s="129">
        <v>809717</v>
      </c>
      <c r="B262" s="6" t="str">
        <f>VLOOKUP(A262,SAP!A144:B460,2,0)</f>
        <v>Osłona zacz. antywyw. MB R06.2 PIN</v>
      </c>
    </row>
    <row r="263" spans="1:2" s="6" customFormat="1" hidden="1" x14ac:dyDescent="0.25">
      <c r="A263" s="129">
        <v>819351</v>
      </c>
      <c r="B263" s="6" t="str">
        <f>VLOOKUP(A263,SAP!A145:B461,2,0)</f>
        <v>Osłona zacz. antywyw. MB R07.2 PIN</v>
      </c>
    </row>
    <row r="264" spans="1:2" s="6" customFormat="1" hidden="1" x14ac:dyDescent="0.25"/>
    <row r="265" spans="1:2" s="6" customFormat="1" hidden="1" x14ac:dyDescent="0.25">
      <c r="A265" s="5">
        <f>SAP!A276</f>
        <v>807733</v>
      </c>
      <c r="B265" s="5" t="str">
        <f>VLOOKUP(A265,SAP!1:1048576,2,FALSE)</f>
        <v>Próg AL L=3,2M R01.1-1101 PIN</v>
      </c>
    </row>
    <row r="266" spans="1:2" s="6" customFormat="1" hidden="1" x14ac:dyDescent="0.25">
      <c r="A266" s="5">
        <f>SAP!A277</f>
        <v>807734</v>
      </c>
      <c r="B266" s="5" t="str">
        <f>VLOOKUP(A266,SAP!1:1048576,2,FALSE)</f>
        <v>Próg AL L=6,4M R01.1-1101 PIN</v>
      </c>
    </row>
    <row r="267" spans="1:2" s="6" customFormat="1" hidden="1" x14ac:dyDescent="0.25"/>
    <row r="268" spans="1:2" s="6" customFormat="1" hidden="1" x14ac:dyDescent="0.25">
      <c r="A268" s="6">
        <v>782921</v>
      </c>
      <c r="B268" s="6" t="str">
        <f>VLOOKUP(A268,SAP!$1:$1048576,2,FALSE)</f>
        <v>Prowadnica L=3,2M R01.1-1101 PIN</v>
      </c>
    </row>
    <row r="269" spans="1:2" s="6" customFormat="1" hidden="1" x14ac:dyDescent="0.25">
      <c r="A269" s="6">
        <v>782922</v>
      </c>
      <c r="B269" s="6" t="str">
        <f>VLOOKUP(A269,SAP!$1:$1048576,2,FALSE)</f>
        <v>Prowadnica L=6,4M R01.1-1101 PIN</v>
      </c>
    </row>
    <row r="270" spans="1:2" s="6" customFormat="1" hidden="1" x14ac:dyDescent="0.25"/>
    <row r="271" spans="1:2" s="6" customFormat="1" hidden="1" x14ac:dyDescent="0.25">
      <c r="A271" s="5">
        <f>SAP!A282</f>
        <v>473587</v>
      </c>
      <c r="B271" s="5" t="str">
        <f>VLOOKUP(A271,SAP!1:1048576,2,FALSE)</f>
        <v>Uszczelka QL-3006 2,1m BRĄZ RAL8019</v>
      </c>
    </row>
    <row r="272" spans="1:2" s="6" customFormat="1" hidden="1" x14ac:dyDescent="0.25">
      <c r="A272" s="5">
        <f>SAP!A283</f>
        <v>473588</v>
      </c>
      <c r="B272" s="5" t="str">
        <f>VLOOKUP(A272,SAP!1:1048576,2,FALSE)</f>
        <v>Uszczelka QL-7000 BRĄZ RAL8019</v>
      </c>
    </row>
    <row r="273" spans="1:7" s="6" customFormat="1" hidden="1" x14ac:dyDescent="0.25">
      <c r="C273" s="6" t="s">
        <v>196</v>
      </c>
      <c r="D273" s="6" t="s">
        <v>195</v>
      </c>
      <c r="E273" s="6" t="s">
        <v>197</v>
      </c>
    </row>
    <row r="274" spans="1:7" s="6" customFormat="1" hidden="1" x14ac:dyDescent="0.25">
      <c r="C274" s="31">
        <v>3</v>
      </c>
      <c r="D274" s="31">
        <f>D91</f>
        <v>3</v>
      </c>
      <c r="E274" s="31">
        <f>F91</f>
        <v>1</v>
      </c>
    </row>
    <row r="275" spans="1:7" s="6" customFormat="1" hidden="1" x14ac:dyDescent="0.25">
      <c r="A275" s="6">
        <v>786362</v>
      </c>
      <c r="B275" s="6" t="str">
        <f>VLOOKUP(A275,SAP!$1:$1048576,2,FALSE)</f>
        <v>Klamka R-line 32mm 200 R01.1 ALV</v>
      </c>
      <c r="C275" s="6">
        <f>IF($C$274=1,1,IF($C$274&lt;&gt;1,0))</f>
        <v>0</v>
      </c>
      <c r="D275" s="6">
        <f>IF($D$274=1,1,IF($D$274&lt;&gt;1,0))</f>
        <v>0</v>
      </c>
      <c r="E275" s="6">
        <f>IF($E$274=1,1,IF($E$274&lt;&gt;1,0))</f>
        <v>1</v>
      </c>
      <c r="F275" s="6">
        <f t="shared" ref="F275:F306" si="23">C275*D275*E275</f>
        <v>0</v>
      </c>
      <c r="G275" s="6">
        <f t="shared" ref="G275:G306" si="24">F275*A275</f>
        <v>0</v>
      </c>
    </row>
    <row r="276" spans="1:7" s="6" customFormat="1" hidden="1" x14ac:dyDescent="0.25">
      <c r="A276" s="6">
        <v>786669</v>
      </c>
      <c r="B276" s="6" t="str">
        <f>VLOOKUP(A276,SAP!$1:$1048576,2,FALSE)</f>
        <v>Klamka R-line 32mm 200 R01.2 ALV</v>
      </c>
      <c r="C276" s="6">
        <f t="shared" ref="C276:C305" si="25">IF($C$274=1,1,IF($C$274&lt;&gt;1,0))</f>
        <v>0</v>
      </c>
      <c r="D276" s="6">
        <f t="shared" ref="D276:D284" si="26">IF($D$274=1,1,IF($D$274&lt;&gt;1,0))</f>
        <v>0</v>
      </c>
      <c r="E276" s="6">
        <f>IF($E$274=2,1,IF($E$274&lt;&gt;2,0))</f>
        <v>0</v>
      </c>
      <c r="F276" s="6">
        <f t="shared" si="23"/>
        <v>0</v>
      </c>
      <c r="G276" s="6">
        <f t="shared" si="24"/>
        <v>0</v>
      </c>
    </row>
    <row r="277" spans="1:7" s="6" customFormat="1" hidden="1" x14ac:dyDescent="0.25">
      <c r="A277" s="6">
        <v>786670</v>
      </c>
      <c r="B277" s="6" t="str">
        <f>VLOOKUP(A277,SAP!$1:$1048576,2,FALSE)</f>
        <v>Klamka R-line 32mm 200 R01.3 ALV</v>
      </c>
      <c r="C277" s="6">
        <f t="shared" si="25"/>
        <v>0</v>
      </c>
      <c r="D277" s="6">
        <f t="shared" si="26"/>
        <v>0</v>
      </c>
      <c r="E277" s="6">
        <f>IF($E$274=3,1,IF($E$274&lt;&gt;3,0))</f>
        <v>0</v>
      </c>
      <c r="F277" s="6">
        <f t="shared" si="23"/>
        <v>0</v>
      </c>
      <c r="G277" s="6">
        <f t="shared" si="24"/>
        <v>0</v>
      </c>
    </row>
    <row r="278" spans="1:7" s="6" customFormat="1" hidden="1" x14ac:dyDescent="0.25">
      <c r="A278" s="6">
        <v>786671</v>
      </c>
      <c r="B278" s="6" t="str">
        <f>VLOOKUP(A278,SAP!$1:$1048576,2,FALSE)</f>
        <v>Klamka R-line 32mm 200 R01.5 ALV</v>
      </c>
      <c r="C278" s="6">
        <f t="shared" si="25"/>
        <v>0</v>
      </c>
      <c r="D278" s="6">
        <f t="shared" si="26"/>
        <v>0</v>
      </c>
      <c r="E278" s="6">
        <f>IF($E$274=4,1,IF($E$274&lt;&gt;4,0))</f>
        <v>0</v>
      </c>
      <c r="F278" s="6">
        <f t="shared" si="23"/>
        <v>0</v>
      </c>
      <c r="G278" s="6">
        <f t="shared" si="24"/>
        <v>0</v>
      </c>
    </row>
    <row r="279" spans="1:7" s="6" customFormat="1" hidden="1" x14ac:dyDescent="0.25">
      <c r="A279" s="6">
        <v>786363</v>
      </c>
      <c r="B279" s="6" t="str">
        <f>VLOOKUP(A279,SAP!$1:$1048576,2,FALSE)</f>
        <v>Klamka R-line 32mm 200 R05.3 ALV</v>
      </c>
      <c r="C279" s="6">
        <f t="shared" si="25"/>
        <v>0</v>
      </c>
      <c r="D279" s="6">
        <f t="shared" si="26"/>
        <v>0</v>
      </c>
      <c r="E279" s="6">
        <f>IF($E$274=5,1,IF($E$274&lt;&gt;5,0))</f>
        <v>0</v>
      </c>
      <c r="F279" s="6">
        <f t="shared" si="23"/>
        <v>0</v>
      </c>
      <c r="G279" s="6">
        <f t="shared" si="24"/>
        <v>0</v>
      </c>
    </row>
    <row r="280" spans="1:7" s="6" customFormat="1" hidden="1" x14ac:dyDescent="0.25">
      <c r="A280" s="6">
        <v>786364</v>
      </c>
      <c r="B280" s="6" t="str">
        <f>VLOOKUP(A280,SAP!$1:$1048576,2,FALSE)</f>
        <v>Klamka R-line 32mm 200 R05.4 ALV</v>
      </c>
      <c r="C280" s="6">
        <f t="shared" si="25"/>
        <v>0</v>
      </c>
      <c r="D280" s="6">
        <f t="shared" si="26"/>
        <v>0</v>
      </c>
      <c r="E280" s="6">
        <f>IF($E$274=6,1,IF($E$274&lt;&gt;6,0))</f>
        <v>0</v>
      </c>
      <c r="F280" s="6">
        <f t="shared" si="23"/>
        <v>0</v>
      </c>
      <c r="G280" s="6">
        <f t="shared" si="24"/>
        <v>0</v>
      </c>
    </row>
    <row r="281" spans="1:7" s="6" customFormat="1" hidden="1" x14ac:dyDescent="0.25">
      <c r="A281" s="6">
        <v>786673</v>
      </c>
      <c r="B281" s="6" t="str">
        <f>VLOOKUP(A281,SAP!$1:$1048576,2,FALSE)</f>
        <v>Klamka R-line 32mm 200 R05.5 ALV</v>
      </c>
      <c r="C281" s="6">
        <f t="shared" si="25"/>
        <v>0</v>
      </c>
      <c r="D281" s="6">
        <f t="shared" si="26"/>
        <v>0</v>
      </c>
      <c r="E281" s="6">
        <f>IF($E$274=7,1,IF($E$274&lt;&gt;7,0))</f>
        <v>0</v>
      </c>
      <c r="F281" s="6">
        <f t="shared" si="23"/>
        <v>0</v>
      </c>
      <c r="G281" s="6">
        <f t="shared" si="24"/>
        <v>0</v>
      </c>
    </row>
    <row r="282" spans="1:7" s="6" customFormat="1" hidden="1" x14ac:dyDescent="0.25">
      <c r="A282" s="6">
        <v>786674</v>
      </c>
      <c r="B282" s="6" t="str">
        <f>VLOOKUP(A282,SAP!$1:$1048576,2,FALSE)</f>
        <v>Klamka R-line 32mm 200 R06.2M ALV</v>
      </c>
      <c r="C282" s="6">
        <f t="shared" si="25"/>
        <v>0</v>
      </c>
      <c r="D282" s="6">
        <f t="shared" si="26"/>
        <v>0</v>
      </c>
      <c r="E282" s="6">
        <f>IF($E$274=8,1,IF($E$274&lt;&gt;8,0))</f>
        <v>0</v>
      </c>
      <c r="F282" s="6">
        <f t="shared" si="23"/>
        <v>0</v>
      </c>
      <c r="G282" s="6">
        <f t="shared" si="24"/>
        <v>0</v>
      </c>
    </row>
    <row r="283" spans="1:7" s="6" customFormat="1" hidden="1" x14ac:dyDescent="0.25">
      <c r="A283" s="6">
        <v>786395</v>
      </c>
      <c r="B283" s="6" t="str">
        <f>VLOOKUP(A283,SAP!$1:$1048576,2,FALSE)</f>
        <v>Klamka R-line 32mm 200 R07.2 ALV</v>
      </c>
      <c r="C283" s="6">
        <f t="shared" si="25"/>
        <v>0</v>
      </c>
      <c r="D283" s="6">
        <f t="shared" si="26"/>
        <v>0</v>
      </c>
      <c r="E283" s="6">
        <f>IF($E$274=9,1,IF($E$274&lt;&gt;9,0))</f>
        <v>0</v>
      </c>
      <c r="F283" s="6">
        <f t="shared" si="23"/>
        <v>0</v>
      </c>
      <c r="G283" s="6">
        <f t="shared" si="24"/>
        <v>0</v>
      </c>
    </row>
    <row r="284" spans="1:7" s="6" customFormat="1" hidden="1" x14ac:dyDescent="0.25">
      <c r="A284" s="6">
        <v>786717</v>
      </c>
      <c r="B284" s="6" t="str">
        <f>VLOOKUP(A284,SAP!$1:$1048576,2,FALSE)</f>
        <v>Klamka R-line 32mm 200 R07.3 ALV</v>
      </c>
      <c r="C284" s="6">
        <f t="shared" si="25"/>
        <v>0</v>
      </c>
      <c r="D284" s="6">
        <f t="shared" si="26"/>
        <v>0</v>
      </c>
      <c r="E284" s="6">
        <f>IF($E$274=10,1,IF($E$274&lt;&gt;10,0))</f>
        <v>0</v>
      </c>
      <c r="F284" s="6">
        <f t="shared" si="23"/>
        <v>0</v>
      </c>
      <c r="G284" s="6">
        <f t="shared" si="24"/>
        <v>0</v>
      </c>
    </row>
    <row r="285" spans="1:7" s="6" customFormat="1" hidden="1" x14ac:dyDescent="0.25">
      <c r="A285" s="6">
        <v>780549</v>
      </c>
      <c r="B285" s="6" t="str">
        <f>VLOOKUP(A285,SAP!$1:$1048576,2,FALSE)</f>
        <v>Klamka R-line 37mm 200 R01.1 ALV</v>
      </c>
      <c r="C285" s="6">
        <f t="shared" si="25"/>
        <v>0</v>
      </c>
      <c r="D285" s="6">
        <f>IF($D$274=2,1,IF($D$274&lt;&gt;2,0))</f>
        <v>0</v>
      </c>
      <c r="E285" s="6">
        <f>IF($E$274=1,1,IF($E$274&lt;&gt;1,0))</f>
        <v>1</v>
      </c>
      <c r="F285" s="6">
        <f t="shared" si="23"/>
        <v>0</v>
      </c>
      <c r="G285" s="6">
        <f t="shared" si="24"/>
        <v>0</v>
      </c>
    </row>
    <row r="286" spans="1:7" s="6" customFormat="1" hidden="1" x14ac:dyDescent="0.25">
      <c r="A286" s="6">
        <v>786517</v>
      </c>
      <c r="B286" s="6" t="str">
        <f>VLOOKUP(A286,SAP!$1:$1048576,2,FALSE)</f>
        <v>Klamka R-line 37mm 200 R01.2 ALV</v>
      </c>
      <c r="C286" s="6">
        <f t="shared" si="25"/>
        <v>0</v>
      </c>
      <c r="D286" s="6">
        <f t="shared" ref="D286:D294" si="27">IF($D$274=2,1,IF($D$274&lt;&gt;2,0))</f>
        <v>0</v>
      </c>
      <c r="E286" s="6">
        <f>IF($E$274=2,1,IF($E$274&lt;&gt;2,0))</f>
        <v>0</v>
      </c>
      <c r="F286" s="6">
        <f t="shared" si="23"/>
        <v>0</v>
      </c>
      <c r="G286" s="6">
        <f t="shared" si="24"/>
        <v>0</v>
      </c>
    </row>
    <row r="287" spans="1:7" s="6" customFormat="1" hidden="1" x14ac:dyDescent="0.25">
      <c r="A287" s="6">
        <v>780552</v>
      </c>
      <c r="B287" s="6" t="str">
        <f>VLOOKUP(A287,SAP!$1:$1048576,2,FALSE)</f>
        <v>Klamka R-line 37mm 200 R01.3 ALV</v>
      </c>
      <c r="C287" s="6">
        <f t="shared" si="25"/>
        <v>0</v>
      </c>
      <c r="D287" s="6">
        <f t="shared" si="27"/>
        <v>0</v>
      </c>
      <c r="E287" s="6">
        <f>IF($E$274=3,1,IF($E$274&lt;&gt;3,0))</f>
        <v>0</v>
      </c>
      <c r="F287" s="6">
        <f t="shared" si="23"/>
        <v>0</v>
      </c>
      <c r="G287" s="6">
        <f t="shared" si="24"/>
        <v>0</v>
      </c>
    </row>
    <row r="288" spans="1:7" s="6" customFormat="1" hidden="1" x14ac:dyDescent="0.25">
      <c r="A288" s="6">
        <v>786519</v>
      </c>
      <c r="B288" s="6" t="str">
        <f>VLOOKUP(A288,SAP!$1:$1048576,2,FALSE)</f>
        <v>Klamka R-line 37mm 200 R01.5 ALV</v>
      </c>
      <c r="C288" s="6">
        <f t="shared" si="25"/>
        <v>0</v>
      </c>
      <c r="D288" s="6">
        <f t="shared" si="27"/>
        <v>0</v>
      </c>
      <c r="E288" s="6">
        <f>IF($E$274=4,1,IF($E$274&lt;&gt;4,0))</f>
        <v>0</v>
      </c>
      <c r="F288" s="6">
        <f t="shared" si="23"/>
        <v>0</v>
      </c>
      <c r="G288" s="6">
        <f t="shared" si="24"/>
        <v>0</v>
      </c>
    </row>
    <row r="289" spans="1:7" s="6" customFormat="1" hidden="1" x14ac:dyDescent="0.25">
      <c r="A289" s="6">
        <v>780575</v>
      </c>
      <c r="B289" s="6" t="str">
        <f>VLOOKUP(A289,SAP!$1:$1048576,2,FALSE)</f>
        <v>Klamka R-line 37mm 200 R05.3 ALV</v>
      </c>
      <c r="C289" s="6">
        <f t="shared" si="25"/>
        <v>0</v>
      </c>
      <c r="D289" s="6">
        <f t="shared" si="27"/>
        <v>0</v>
      </c>
      <c r="E289" s="6">
        <f>IF($E$274=5,1,IF($E$274&lt;&gt;5,0))</f>
        <v>0</v>
      </c>
      <c r="F289" s="6">
        <f t="shared" si="23"/>
        <v>0</v>
      </c>
      <c r="G289" s="6">
        <f t="shared" si="24"/>
        <v>0</v>
      </c>
    </row>
    <row r="290" spans="1:7" s="6" customFormat="1" hidden="1" x14ac:dyDescent="0.25">
      <c r="A290" s="6">
        <v>780576</v>
      </c>
      <c r="B290" s="6" t="str">
        <f>VLOOKUP(A290,SAP!$1:$1048576,2,FALSE)</f>
        <v>Klamka R-line 37mm 200 R05.4 ALV</v>
      </c>
      <c r="C290" s="6">
        <f t="shared" si="25"/>
        <v>0</v>
      </c>
      <c r="D290" s="6">
        <f t="shared" si="27"/>
        <v>0</v>
      </c>
      <c r="E290" s="6">
        <f>IF($E$274=6,1,IF($E$274&lt;&gt;6,0))</f>
        <v>0</v>
      </c>
      <c r="F290" s="6">
        <f t="shared" si="23"/>
        <v>0</v>
      </c>
      <c r="G290" s="6">
        <f t="shared" si="24"/>
        <v>0</v>
      </c>
    </row>
    <row r="291" spans="1:7" s="6" customFormat="1" hidden="1" x14ac:dyDescent="0.25">
      <c r="A291" s="6">
        <v>780577</v>
      </c>
      <c r="B291" s="6" t="str">
        <f>VLOOKUP(A291,SAP!$1:$1048576,2,FALSE)</f>
        <v>Klamka R-line 37mm 200 R05.5 ALV</v>
      </c>
      <c r="C291" s="6">
        <f t="shared" si="25"/>
        <v>0</v>
      </c>
      <c r="D291" s="6">
        <f t="shared" si="27"/>
        <v>0</v>
      </c>
      <c r="E291" s="6">
        <f>IF($E$274=7,1,IF($E$274&lt;&gt;7,0))</f>
        <v>0</v>
      </c>
      <c r="F291" s="6">
        <f t="shared" si="23"/>
        <v>0</v>
      </c>
      <c r="G291" s="6">
        <f t="shared" si="24"/>
        <v>0</v>
      </c>
    </row>
    <row r="292" spans="1:7" s="6" customFormat="1" hidden="1" x14ac:dyDescent="0.25">
      <c r="A292" s="6">
        <v>786715</v>
      </c>
      <c r="B292" s="6" t="str">
        <f>VLOOKUP(A292,SAP!$1:$1048576,2,FALSE)</f>
        <v>Klamka R-line 37mm 200 R06.2M ALV</v>
      </c>
      <c r="C292" s="6">
        <f t="shared" si="25"/>
        <v>0</v>
      </c>
      <c r="D292" s="6">
        <f t="shared" si="27"/>
        <v>0</v>
      </c>
      <c r="E292" s="6">
        <f>IF($E$274=8,1,IF($E$274&lt;&gt;8,0))</f>
        <v>0</v>
      </c>
      <c r="F292" s="6">
        <f t="shared" si="23"/>
        <v>0</v>
      </c>
      <c r="G292" s="6">
        <f t="shared" si="24"/>
        <v>0</v>
      </c>
    </row>
    <row r="293" spans="1:7" s="6" customFormat="1" hidden="1" x14ac:dyDescent="0.25">
      <c r="A293" s="6">
        <v>780578</v>
      </c>
      <c r="B293" s="6" t="str">
        <f>VLOOKUP(A293,SAP!$1:$1048576,2,FALSE)</f>
        <v>Klamka R-line 37mm 200 R07.2 ALV</v>
      </c>
      <c r="C293" s="6">
        <f t="shared" si="25"/>
        <v>0</v>
      </c>
      <c r="D293" s="6">
        <f t="shared" si="27"/>
        <v>0</v>
      </c>
      <c r="E293" s="6">
        <f>IF($E$274=9,1,IF($E$274&lt;&gt;9,0))</f>
        <v>0</v>
      </c>
      <c r="F293" s="6">
        <f t="shared" si="23"/>
        <v>0</v>
      </c>
      <c r="G293" s="6">
        <f t="shared" si="24"/>
        <v>0</v>
      </c>
    </row>
    <row r="294" spans="1:7" s="6" customFormat="1" hidden="1" x14ac:dyDescent="0.25">
      <c r="A294" s="6">
        <v>780579</v>
      </c>
      <c r="B294" s="6" t="str">
        <f>VLOOKUP(A294,SAP!$1:$1048576,2,FALSE)</f>
        <v>Klamka R-line 37mm 200 R07.3 ALV</v>
      </c>
      <c r="C294" s="6">
        <f t="shared" si="25"/>
        <v>0</v>
      </c>
      <c r="D294" s="6">
        <f t="shared" si="27"/>
        <v>0</v>
      </c>
      <c r="E294" s="6">
        <f>IF($E$274=10,1,IF($E$274&lt;&gt;10,0))</f>
        <v>0</v>
      </c>
      <c r="F294" s="6">
        <f t="shared" si="23"/>
        <v>0</v>
      </c>
      <c r="G294" s="6">
        <f t="shared" si="24"/>
        <v>0</v>
      </c>
    </row>
    <row r="295" spans="1:7" s="6" customFormat="1" hidden="1" x14ac:dyDescent="0.25">
      <c r="A295" s="6">
        <v>780551</v>
      </c>
      <c r="B295" s="6" t="str">
        <f>VLOOKUP(A295,SAP!$1:$1048576,2,FALSE)</f>
        <v>Klamka R-line 43mm 200 R01.1 ALV</v>
      </c>
      <c r="C295" s="6">
        <f t="shared" si="25"/>
        <v>0</v>
      </c>
      <c r="D295" s="6">
        <f>IF($D$274=3,1,IF($D$274&lt;&gt;3,0))</f>
        <v>1</v>
      </c>
      <c r="E295" s="6">
        <f>IF($E$274=1,1,IF($E$274&lt;&gt;1,0))</f>
        <v>1</v>
      </c>
      <c r="F295" s="6">
        <f t="shared" si="23"/>
        <v>0</v>
      </c>
      <c r="G295" s="6">
        <f t="shared" si="24"/>
        <v>0</v>
      </c>
    </row>
    <row r="296" spans="1:7" s="6" customFormat="1" hidden="1" x14ac:dyDescent="0.25">
      <c r="A296" s="6">
        <v>786518</v>
      </c>
      <c r="B296" s="6" t="str">
        <f>VLOOKUP(A296,SAP!$1:$1048576,2,FALSE)</f>
        <v>Klamka R-line 43mm 200 R01.2 ALV</v>
      </c>
      <c r="C296" s="6">
        <f t="shared" si="25"/>
        <v>0</v>
      </c>
      <c r="D296" s="6">
        <f t="shared" ref="D296:D308" si="28">IF($D$274=3,1,IF($D$274&lt;&gt;3,0))</f>
        <v>1</v>
      </c>
      <c r="E296" s="6">
        <f>IF($E$274=2,1,IF($E$274&lt;&gt;2,0))</f>
        <v>0</v>
      </c>
      <c r="F296" s="6">
        <f t="shared" si="23"/>
        <v>0</v>
      </c>
      <c r="G296" s="6">
        <f t="shared" si="24"/>
        <v>0</v>
      </c>
    </row>
    <row r="297" spans="1:7" s="6" customFormat="1" hidden="1" x14ac:dyDescent="0.25">
      <c r="A297" s="6">
        <v>780580</v>
      </c>
      <c r="B297" s="6" t="str">
        <f>VLOOKUP(A297,SAP!$1:$1048576,2,FALSE)</f>
        <v>Klamka R-line 43mm 200 R01.3 ALV</v>
      </c>
      <c r="C297" s="6">
        <f t="shared" si="25"/>
        <v>0</v>
      </c>
      <c r="D297" s="6">
        <f t="shared" si="28"/>
        <v>1</v>
      </c>
      <c r="E297" s="6">
        <f>IF($E$274=3,1,IF($E$274&lt;&gt;3,0))</f>
        <v>0</v>
      </c>
      <c r="F297" s="6">
        <f t="shared" si="23"/>
        <v>0</v>
      </c>
      <c r="G297" s="6">
        <f t="shared" si="24"/>
        <v>0</v>
      </c>
    </row>
    <row r="298" spans="1:7" s="6" customFormat="1" hidden="1" x14ac:dyDescent="0.25">
      <c r="A298" s="6">
        <v>786672</v>
      </c>
      <c r="B298" s="6" t="str">
        <f>VLOOKUP(A298,SAP!$1:$1048576,2,FALSE)</f>
        <v>Klamka R-line 43mm 200 R01.5 ALV</v>
      </c>
      <c r="C298" s="6">
        <f t="shared" si="25"/>
        <v>0</v>
      </c>
      <c r="D298" s="6">
        <f t="shared" si="28"/>
        <v>1</v>
      </c>
      <c r="E298" s="6">
        <f>IF($E$274=4,1,IF($E$274&lt;&gt;4,0))</f>
        <v>0</v>
      </c>
      <c r="F298" s="6">
        <f t="shared" si="23"/>
        <v>0</v>
      </c>
      <c r="G298" s="6">
        <f t="shared" si="24"/>
        <v>0</v>
      </c>
    </row>
    <row r="299" spans="1:7" s="6" customFormat="1" hidden="1" x14ac:dyDescent="0.25">
      <c r="A299" s="37">
        <v>820797</v>
      </c>
      <c r="B299" s="6" t="str">
        <f>VLOOKUP(A299,SAP!$1:$1048576,2,FALSE)</f>
        <v>Klamka R-line 43mm 200 R02.2 ALV</v>
      </c>
      <c r="C299" s="6">
        <f t="shared" si="25"/>
        <v>0</v>
      </c>
      <c r="D299" s="6">
        <f t="shared" si="28"/>
        <v>1</v>
      </c>
      <c r="E299" s="6">
        <f>IF($E$274=5,1,IF($E$274&lt;&gt;5,0))</f>
        <v>0</v>
      </c>
      <c r="F299" s="6">
        <f t="shared" si="23"/>
        <v>0</v>
      </c>
      <c r="G299" s="6">
        <f t="shared" si="24"/>
        <v>0</v>
      </c>
    </row>
    <row r="300" spans="1:7" s="6" customFormat="1" hidden="1" x14ac:dyDescent="0.25">
      <c r="A300" s="6">
        <v>780581</v>
      </c>
      <c r="B300" s="6" t="str">
        <f>VLOOKUP(A300,SAP!$1:$1048576,2,FALSE)</f>
        <v>Klamka R-line 43mm 200 R05.3 ALV</v>
      </c>
      <c r="C300" s="6">
        <f t="shared" si="25"/>
        <v>0</v>
      </c>
      <c r="D300" s="6">
        <f t="shared" si="28"/>
        <v>1</v>
      </c>
      <c r="E300" s="6">
        <f>IF($E$274=6,1,IF($E$274&lt;&gt;6,0))</f>
        <v>0</v>
      </c>
      <c r="F300" s="6">
        <f t="shared" si="23"/>
        <v>0</v>
      </c>
      <c r="G300" s="6">
        <f t="shared" si="24"/>
        <v>0</v>
      </c>
    </row>
    <row r="301" spans="1:7" s="6" customFormat="1" hidden="1" x14ac:dyDescent="0.25">
      <c r="A301" s="6">
        <v>780582</v>
      </c>
      <c r="B301" s="6" t="str">
        <f>VLOOKUP(A301,SAP!$1:$1048576,2,FALSE)</f>
        <v>Klamka R-line 43mm 200 R05.4 ALV</v>
      </c>
      <c r="C301" s="6">
        <f t="shared" si="25"/>
        <v>0</v>
      </c>
      <c r="D301" s="6">
        <f t="shared" si="28"/>
        <v>1</v>
      </c>
      <c r="E301" s="6">
        <f>IF($E$274=7,1,IF($E$274&lt;&gt;7,0))</f>
        <v>0</v>
      </c>
      <c r="F301" s="6">
        <f t="shared" si="23"/>
        <v>0</v>
      </c>
      <c r="G301" s="6">
        <f t="shared" si="24"/>
        <v>0</v>
      </c>
    </row>
    <row r="302" spans="1:7" s="6" customFormat="1" hidden="1" x14ac:dyDescent="0.25">
      <c r="A302" s="6">
        <v>780583</v>
      </c>
      <c r="B302" s="6" t="str">
        <f>VLOOKUP(A302,SAP!$1:$1048576,2,FALSE)</f>
        <v>Klamka R-line 43mm 200 R05.5 ALV</v>
      </c>
      <c r="C302" s="6">
        <f t="shared" si="25"/>
        <v>0</v>
      </c>
      <c r="D302" s="6">
        <f t="shared" si="28"/>
        <v>1</v>
      </c>
      <c r="E302" s="6">
        <f>IF($E$274=8,1,IF($E$274&lt;&gt;8,0))</f>
        <v>0</v>
      </c>
      <c r="F302" s="6">
        <f t="shared" si="23"/>
        <v>0</v>
      </c>
      <c r="G302" s="6">
        <f t="shared" si="24"/>
        <v>0</v>
      </c>
    </row>
    <row r="303" spans="1:7" s="6" customFormat="1" hidden="1" x14ac:dyDescent="0.25">
      <c r="A303" s="6">
        <v>786716</v>
      </c>
      <c r="B303" s="6" t="str">
        <f>VLOOKUP(A303,SAP!$1:$1048576,2,FALSE)</f>
        <v>Klamka R-line 43mm 200 R06.2M ALV</v>
      </c>
      <c r="C303" s="6">
        <f t="shared" si="25"/>
        <v>0</v>
      </c>
      <c r="D303" s="6">
        <f t="shared" si="28"/>
        <v>1</v>
      </c>
      <c r="E303" s="6">
        <f>IF($E$274=9,1,IF($E$274&lt;&gt;9,0))</f>
        <v>0</v>
      </c>
      <c r="F303" s="6">
        <f t="shared" si="23"/>
        <v>0</v>
      </c>
      <c r="G303" s="6">
        <f t="shared" si="24"/>
        <v>0</v>
      </c>
    </row>
    <row r="304" spans="1:7" s="6" customFormat="1" hidden="1" x14ac:dyDescent="0.25">
      <c r="A304" s="6">
        <v>780584</v>
      </c>
      <c r="B304" s="6" t="str">
        <f>VLOOKUP(A304,SAP!$1:$1048576,2,FALSE)</f>
        <v>Klamka R-line 43mm 200 R07.2 ALV</v>
      </c>
      <c r="C304" s="6">
        <f t="shared" si="25"/>
        <v>0</v>
      </c>
      <c r="D304" s="6">
        <f t="shared" si="28"/>
        <v>1</v>
      </c>
      <c r="E304" s="6">
        <f>IF($E$274=10,1,IF($E$274&lt;&gt;10,0))</f>
        <v>0</v>
      </c>
      <c r="F304" s="6">
        <f t="shared" si="23"/>
        <v>0</v>
      </c>
      <c r="G304" s="6">
        <f t="shared" si="24"/>
        <v>0</v>
      </c>
    </row>
    <row r="305" spans="1:7" s="6" customFormat="1" hidden="1" x14ac:dyDescent="0.25">
      <c r="A305" s="6">
        <v>780585</v>
      </c>
      <c r="B305" s="6" t="str">
        <f>VLOOKUP(A305,SAP!$1:$1048576,2,FALSE)</f>
        <v>Klamka R-line 43mm 200 R07.3 ALV</v>
      </c>
      <c r="C305" s="6">
        <f t="shared" si="25"/>
        <v>0</v>
      </c>
      <c r="D305" s="6">
        <f t="shared" si="28"/>
        <v>1</v>
      </c>
      <c r="E305" s="6">
        <f>IF($E$274=11,1,IF($E$274&lt;&gt;11,0))</f>
        <v>0</v>
      </c>
      <c r="F305" s="6">
        <f t="shared" si="23"/>
        <v>0</v>
      </c>
      <c r="G305" s="6">
        <f t="shared" si="24"/>
        <v>0</v>
      </c>
    </row>
    <row r="306" spans="1:7" s="6" customFormat="1" hidden="1" x14ac:dyDescent="0.25">
      <c r="A306" s="116">
        <v>798992</v>
      </c>
      <c r="B306" s="6" t="str">
        <f>VLOOKUP(A306,SAP!$1:$1048576,2,FALSE)</f>
        <v>Klamka R-line/przycisk 43mm 200R01.1PIN</v>
      </c>
      <c r="C306" s="6">
        <f>IF($C$274=2,1,IF($C$274&lt;&gt;2,0))</f>
        <v>0</v>
      </c>
      <c r="D306" s="6">
        <f t="shared" si="28"/>
        <v>1</v>
      </c>
      <c r="E306" s="6">
        <f>IF($E$274=1,1,IF($E$274&lt;&gt;1,0))</f>
        <v>1</v>
      </c>
      <c r="F306" s="6">
        <f t="shared" si="23"/>
        <v>0</v>
      </c>
      <c r="G306" s="6">
        <f t="shared" si="24"/>
        <v>0</v>
      </c>
    </row>
    <row r="307" spans="1:7" s="6" customFormat="1" hidden="1" x14ac:dyDescent="0.25">
      <c r="A307" s="116">
        <v>798993</v>
      </c>
      <c r="B307" s="6" t="str">
        <f>VLOOKUP(A307,SAP!$1:$1048576,2,FALSE)</f>
        <v>Klamka R-line/przycisk 43mm 200R06.2MPIN</v>
      </c>
      <c r="C307" s="6">
        <f>IF($C$274=2,1,IF($C$274&lt;&gt;2,0))</f>
        <v>0</v>
      </c>
      <c r="D307" s="6">
        <f t="shared" si="28"/>
        <v>1</v>
      </c>
      <c r="E307" s="6">
        <f>IF($E$274=9,1,IF($E$274&lt;&gt;9,0))</f>
        <v>0</v>
      </c>
      <c r="F307" s="6">
        <f t="shared" ref="F307:F338" si="29">C307*D307*E307</f>
        <v>0</v>
      </c>
      <c r="G307" s="6">
        <f t="shared" ref="G307:G338" si="30">F307*A307</f>
        <v>0</v>
      </c>
    </row>
    <row r="308" spans="1:7" s="6" customFormat="1" hidden="1" x14ac:dyDescent="0.25">
      <c r="A308" s="116">
        <v>798994</v>
      </c>
      <c r="B308" s="6" t="str">
        <f>VLOOKUP(A308,SAP!$1:$1048576,2,FALSE)</f>
        <v>Klamka R-line/przycisk 43mm 200R07.2PIN</v>
      </c>
      <c r="C308" s="6">
        <f>IF($C$274=2,1,IF($C$274&lt;&gt;2,0))</f>
        <v>0</v>
      </c>
      <c r="D308" s="6">
        <f t="shared" si="28"/>
        <v>1</v>
      </c>
      <c r="E308" s="6">
        <f>IF($E$274=10,1,IF($E$274&lt;&gt;10,0))</f>
        <v>0</v>
      </c>
      <c r="F308" s="6">
        <f t="shared" si="29"/>
        <v>0</v>
      </c>
      <c r="G308" s="6">
        <f t="shared" si="30"/>
        <v>0</v>
      </c>
    </row>
    <row r="309" spans="1:7" s="6" customFormat="1" hidden="1" x14ac:dyDescent="0.25">
      <c r="A309" s="6">
        <v>786719</v>
      </c>
      <c r="B309" s="6" t="str">
        <f>VLOOKUP(A309,SAP!$1:$1048576,2,FALSE)</f>
        <v>Klamka R-line/klucz100Nm32mm200R01.1ALV</v>
      </c>
      <c r="C309" s="6">
        <f>IF($C$274=3,1,IF($C$274&lt;&gt;3,0))</f>
        <v>1</v>
      </c>
      <c r="D309" s="6">
        <f>IF($D$274=1,1,IF($D$274&lt;&gt;1,0))</f>
        <v>0</v>
      </c>
      <c r="E309" s="6">
        <f>IF($E$274=1,1,IF($E$274&lt;&gt;1,0))</f>
        <v>1</v>
      </c>
      <c r="F309" s="6">
        <f t="shared" si="29"/>
        <v>0</v>
      </c>
      <c r="G309" s="6">
        <f t="shared" si="30"/>
        <v>0</v>
      </c>
    </row>
    <row r="310" spans="1:7" s="6" customFormat="1" hidden="1" x14ac:dyDescent="0.25">
      <c r="A310" s="6">
        <v>786720</v>
      </c>
      <c r="B310" s="6" t="str">
        <f>VLOOKUP(A310,SAP!$1:$1048576,2,FALSE)</f>
        <v>Klamka R-line/klucz100Nm32mm200R01.2ALV</v>
      </c>
      <c r="C310" s="6">
        <f>IF($C$274=3,1,IF($C$274&lt;&gt;3,0))</f>
        <v>1</v>
      </c>
      <c r="D310" s="6">
        <f t="shared" ref="D310:D318" si="31">IF($D$274=1,1,IF($D$274&lt;&gt;1,0))</f>
        <v>0</v>
      </c>
      <c r="E310" s="6">
        <f>IF($E$274=2,1,IF($E$274&lt;&gt;2,0))</f>
        <v>0</v>
      </c>
      <c r="F310" s="6">
        <f t="shared" si="29"/>
        <v>0</v>
      </c>
      <c r="G310" s="6">
        <f t="shared" si="30"/>
        <v>0</v>
      </c>
    </row>
    <row r="311" spans="1:7" s="6" customFormat="1" hidden="1" x14ac:dyDescent="0.25">
      <c r="A311" s="6">
        <v>786732</v>
      </c>
      <c r="B311" s="6" t="str">
        <f>VLOOKUP(A311,SAP!$1:$1048576,2,FALSE)</f>
        <v>Klamka R-line/klucz100Nm32mm200R01.3ALV</v>
      </c>
      <c r="C311" s="6">
        <f>IF($C$274=3,1,IF($C$274&lt;&gt;3,0))</f>
        <v>1</v>
      </c>
      <c r="D311" s="6">
        <f t="shared" si="31"/>
        <v>0</v>
      </c>
      <c r="E311" s="6">
        <f>IF($E$274=3,1,IF($E$274&lt;&gt;3,0))</f>
        <v>0</v>
      </c>
      <c r="F311" s="6">
        <f t="shared" si="29"/>
        <v>0</v>
      </c>
      <c r="G311" s="6">
        <f t="shared" si="30"/>
        <v>0</v>
      </c>
    </row>
    <row r="312" spans="1:7" s="6" customFormat="1" hidden="1" x14ac:dyDescent="0.25">
      <c r="A312" s="6">
        <v>786733</v>
      </c>
      <c r="B312" s="6" t="str">
        <f>VLOOKUP(A312,SAP!$1:$1048576,2,FALSE)</f>
        <v>Klamka R-line/klucz100Nm32mm200R01.5ALV</v>
      </c>
      <c r="C312" s="6">
        <f t="shared" ref="C312:C339" si="32">IF($C$274=3,1,IF($C$274&lt;&gt;3,0))</f>
        <v>1</v>
      </c>
      <c r="D312" s="6">
        <f t="shared" si="31"/>
        <v>0</v>
      </c>
      <c r="E312" s="6">
        <f>IF($E$274=4,1,IF($E$274&lt;&gt;4,0))</f>
        <v>0</v>
      </c>
      <c r="F312" s="6">
        <f t="shared" si="29"/>
        <v>0</v>
      </c>
      <c r="G312" s="6">
        <f t="shared" si="30"/>
        <v>0</v>
      </c>
    </row>
    <row r="313" spans="1:7" s="6" customFormat="1" hidden="1" x14ac:dyDescent="0.25">
      <c r="A313" s="6">
        <v>786397</v>
      </c>
      <c r="B313" s="6" t="str">
        <f>VLOOKUP(A313,SAP!$1:$1048576,2,FALSE)</f>
        <v>Klamka R-line/klucz100Nm32mm200R05.3ALV</v>
      </c>
      <c r="C313" s="6">
        <f t="shared" si="32"/>
        <v>1</v>
      </c>
      <c r="D313" s="6">
        <f t="shared" si="31"/>
        <v>0</v>
      </c>
      <c r="E313" s="6">
        <f>IF($E$274=5,1,IF($E$274&lt;&gt;5,0))</f>
        <v>0</v>
      </c>
      <c r="F313" s="6">
        <f t="shared" si="29"/>
        <v>0</v>
      </c>
      <c r="G313" s="6">
        <f t="shared" si="30"/>
        <v>0</v>
      </c>
    </row>
    <row r="314" spans="1:7" s="6" customFormat="1" hidden="1" x14ac:dyDescent="0.25">
      <c r="A314" s="6">
        <v>786398</v>
      </c>
      <c r="B314" s="6" t="str">
        <f>VLOOKUP(A314,SAP!$1:$1048576,2,FALSE)</f>
        <v>Klamka R-line/klucz100Nm32mm200R05.4ALV</v>
      </c>
      <c r="C314" s="6">
        <f t="shared" si="32"/>
        <v>1</v>
      </c>
      <c r="D314" s="6">
        <f t="shared" si="31"/>
        <v>0</v>
      </c>
      <c r="E314" s="6">
        <f>IF($E$274=6,1,IF($E$274&lt;&gt;6,0))</f>
        <v>0</v>
      </c>
      <c r="F314" s="6">
        <f t="shared" si="29"/>
        <v>0</v>
      </c>
      <c r="G314" s="6">
        <f t="shared" si="30"/>
        <v>0</v>
      </c>
    </row>
    <row r="315" spans="1:7" s="6" customFormat="1" hidden="1" x14ac:dyDescent="0.25">
      <c r="A315" s="6">
        <v>787000</v>
      </c>
      <c r="B315" s="6" t="str">
        <f>VLOOKUP(A315,SAP!$1:$1048576,2,FALSE)</f>
        <v>Klamka R-line/klucz100Nm32mm200R05.5ALV</v>
      </c>
      <c r="C315" s="6">
        <f t="shared" si="32"/>
        <v>1</v>
      </c>
      <c r="D315" s="6">
        <f t="shared" si="31"/>
        <v>0</v>
      </c>
      <c r="E315" s="6">
        <f>IF($E$274=7,1,IF($E$274&lt;&gt;7,0))</f>
        <v>0</v>
      </c>
      <c r="F315" s="6">
        <f t="shared" si="29"/>
        <v>0</v>
      </c>
      <c r="G315" s="6">
        <f t="shared" si="30"/>
        <v>0</v>
      </c>
    </row>
    <row r="316" spans="1:7" s="6" customFormat="1" hidden="1" x14ac:dyDescent="0.25">
      <c r="A316" s="6">
        <v>787002</v>
      </c>
      <c r="B316" s="6" t="str">
        <f>VLOOKUP(A316,SAP!$1:$1048576,2,FALSE)</f>
        <v>Klamka R-line/klucz100Nm32mm200R06.2MALV</v>
      </c>
      <c r="C316" s="6">
        <f t="shared" si="32"/>
        <v>1</v>
      </c>
      <c r="D316" s="6">
        <f t="shared" si="31"/>
        <v>0</v>
      </c>
      <c r="E316" s="6">
        <f>IF($E$274=8,1,IF($E$274&lt;&gt;8,0))</f>
        <v>0</v>
      </c>
      <c r="F316" s="6">
        <f t="shared" si="29"/>
        <v>0</v>
      </c>
      <c r="G316" s="6">
        <f t="shared" si="30"/>
        <v>0</v>
      </c>
    </row>
    <row r="317" spans="1:7" s="6" customFormat="1" hidden="1" x14ac:dyDescent="0.25">
      <c r="A317" s="6">
        <v>786399</v>
      </c>
      <c r="B317" s="6" t="str">
        <f>VLOOKUP(A317,SAP!$1:$1048576,2,FALSE)</f>
        <v>Klamka R-line/klucz100Nm32mm200R07.2ALV</v>
      </c>
      <c r="C317" s="6">
        <f t="shared" si="32"/>
        <v>1</v>
      </c>
      <c r="D317" s="6">
        <f t="shared" si="31"/>
        <v>0</v>
      </c>
      <c r="E317" s="6">
        <f>IF($E$274=9,1,IF($E$274&lt;&gt;9,0))</f>
        <v>0</v>
      </c>
      <c r="F317" s="6">
        <f t="shared" si="29"/>
        <v>0</v>
      </c>
      <c r="G317" s="6">
        <f t="shared" si="30"/>
        <v>0</v>
      </c>
    </row>
    <row r="318" spans="1:7" s="6" customFormat="1" hidden="1" x14ac:dyDescent="0.25">
      <c r="A318" s="6">
        <v>787001</v>
      </c>
      <c r="B318" s="6" t="str">
        <f>VLOOKUP(A318,SAP!$1:$1048576,2,FALSE)</f>
        <v>Klamka R-line/klucz100Nm32mm200R07.3ALV</v>
      </c>
      <c r="C318" s="6">
        <f t="shared" si="32"/>
        <v>1</v>
      </c>
      <c r="D318" s="6">
        <f t="shared" si="31"/>
        <v>0</v>
      </c>
      <c r="E318" s="6">
        <f>IF($E$274=10,1,IF($E$274&lt;&gt;10,0))</f>
        <v>0</v>
      </c>
      <c r="F318" s="6">
        <f t="shared" si="29"/>
        <v>0</v>
      </c>
      <c r="G318" s="6">
        <f t="shared" si="30"/>
        <v>0</v>
      </c>
    </row>
    <row r="319" spans="1:7" s="6" customFormat="1" hidden="1" x14ac:dyDescent="0.25">
      <c r="A319" s="6">
        <v>780586</v>
      </c>
      <c r="B319" s="6" t="str">
        <f>VLOOKUP(A319,SAP!$1:$1048576,2,FALSE)</f>
        <v>Klamka R-line/klucz100Nm37mm200R01.1ALV</v>
      </c>
      <c r="C319" s="6">
        <f t="shared" si="32"/>
        <v>1</v>
      </c>
      <c r="D319" s="6">
        <f>IF($D$274=2,1,IF($D$274&lt;&gt;2,0))</f>
        <v>0</v>
      </c>
      <c r="E319" s="6">
        <f>IF($E$274=1,1,IF($E$274&lt;&gt;1,0))</f>
        <v>1</v>
      </c>
      <c r="F319" s="6">
        <f t="shared" si="29"/>
        <v>0</v>
      </c>
      <c r="G319" s="6">
        <f t="shared" si="30"/>
        <v>0</v>
      </c>
    </row>
    <row r="320" spans="1:7" s="6" customFormat="1" hidden="1" x14ac:dyDescent="0.25">
      <c r="A320" s="6">
        <v>786396</v>
      </c>
      <c r="B320" s="6" t="str">
        <f>VLOOKUP(A320,SAP!$1:$1048576,2,FALSE)</f>
        <v>Klamka R-line/klucz100Nm37mm200R01.2ALV</v>
      </c>
      <c r="C320" s="6">
        <f t="shared" si="32"/>
        <v>1</v>
      </c>
      <c r="D320" s="6">
        <f t="shared" ref="D320:D328" si="33">IF($D$274=2,1,IF($D$274&lt;&gt;2,0))</f>
        <v>0</v>
      </c>
      <c r="E320" s="6">
        <f>IF($E$274=2,1,IF($E$274&lt;&gt;2,0))</f>
        <v>0</v>
      </c>
      <c r="F320" s="6">
        <f t="shared" si="29"/>
        <v>0</v>
      </c>
      <c r="G320" s="6">
        <f t="shared" si="30"/>
        <v>0</v>
      </c>
    </row>
    <row r="321" spans="1:7" s="6" customFormat="1" hidden="1" x14ac:dyDescent="0.25">
      <c r="A321" s="6">
        <v>780587</v>
      </c>
      <c r="B321" s="6" t="str">
        <f>VLOOKUP(A321,SAP!$1:$1048576,2,FALSE)</f>
        <v>Klamka R-line/klucz100Nm37mm200R01.3ALV</v>
      </c>
      <c r="C321" s="6">
        <f t="shared" si="32"/>
        <v>1</v>
      </c>
      <c r="D321" s="6">
        <f t="shared" si="33"/>
        <v>0</v>
      </c>
      <c r="E321" s="6">
        <f>IF($E$274=3,1,IF($E$274&lt;&gt;3,0))</f>
        <v>0</v>
      </c>
      <c r="F321" s="6">
        <f t="shared" si="29"/>
        <v>0</v>
      </c>
      <c r="G321" s="6">
        <f t="shared" si="30"/>
        <v>0</v>
      </c>
    </row>
    <row r="322" spans="1:7" s="6" customFormat="1" hidden="1" x14ac:dyDescent="0.25">
      <c r="A322" s="6">
        <v>786734</v>
      </c>
      <c r="B322" s="6" t="str">
        <f>VLOOKUP(A322,SAP!$1:$1048576,2,FALSE)</f>
        <v>Klamka R-line/klucz100Nm37mm200R01.5ALV</v>
      </c>
      <c r="C322" s="6">
        <f t="shared" si="32"/>
        <v>1</v>
      </c>
      <c r="D322" s="6">
        <f t="shared" si="33"/>
        <v>0</v>
      </c>
      <c r="E322" s="6">
        <f>IF($E$274=4,1,IF($E$274&lt;&gt;4,0))</f>
        <v>0</v>
      </c>
      <c r="F322" s="6">
        <f t="shared" si="29"/>
        <v>0</v>
      </c>
      <c r="G322" s="6">
        <f t="shared" si="30"/>
        <v>0</v>
      </c>
    </row>
    <row r="323" spans="1:7" s="6" customFormat="1" hidden="1" x14ac:dyDescent="0.25">
      <c r="A323" s="6">
        <v>780588</v>
      </c>
      <c r="B323" s="6" t="str">
        <f>VLOOKUP(A323,SAP!$1:$1048576,2,FALSE)</f>
        <v>Klamka R-line/klucz100Nm37mm200R05.3ALV</v>
      </c>
      <c r="C323" s="6">
        <f t="shared" si="32"/>
        <v>1</v>
      </c>
      <c r="D323" s="6">
        <f t="shared" si="33"/>
        <v>0</v>
      </c>
      <c r="E323" s="6">
        <f>IF($E$274=5,1,IF($E$274&lt;&gt;5,0))</f>
        <v>0</v>
      </c>
      <c r="F323" s="6">
        <f t="shared" si="29"/>
        <v>0</v>
      </c>
      <c r="G323" s="6">
        <f t="shared" si="30"/>
        <v>0</v>
      </c>
    </row>
    <row r="324" spans="1:7" s="6" customFormat="1" hidden="1" x14ac:dyDescent="0.25">
      <c r="A324" s="6">
        <v>780589</v>
      </c>
      <c r="B324" s="6" t="str">
        <f>VLOOKUP(A324,SAP!$1:$1048576,2,FALSE)</f>
        <v>Klamka R-line/klucz100Nm37mm200R05.4ALV</v>
      </c>
      <c r="C324" s="6">
        <f t="shared" si="32"/>
        <v>1</v>
      </c>
      <c r="D324" s="6">
        <f t="shared" si="33"/>
        <v>0</v>
      </c>
      <c r="E324" s="6">
        <f>IF($E$274=6,1,IF($E$274&lt;&gt;6,0))</f>
        <v>0</v>
      </c>
      <c r="F324" s="6">
        <f t="shared" si="29"/>
        <v>0</v>
      </c>
      <c r="G324" s="6">
        <f t="shared" si="30"/>
        <v>0</v>
      </c>
    </row>
    <row r="325" spans="1:7" s="6" customFormat="1" hidden="1" x14ac:dyDescent="0.25">
      <c r="A325" s="6">
        <v>780590</v>
      </c>
      <c r="B325" s="6" t="str">
        <f>VLOOKUP(A325,SAP!$1:$1048576,2,FALSE)</f>
        <v>Klamka R-line/klucz100Nm37mm200R05.5ALV</v>
      </c>
      <c r="C325" s="6">
        <f t="shared" si="32"/>
        <v>1</v>
      </c>
      <c r="D325" s="6">
        <f t="shared" si="33"/>
        <v>0</v>
      </c>
      <c r="E325" s="6">
        <f>IF($E$274=7,1,IF($E$274&lt;&gt;7,0))</f>
        <v>0</v>
      </c>
      <c r="F325" s="6">
        <f t="shared" si="29"/>
        <v>0</v>
      </c>
      <c r="G325" s="6">
        <f t="shared" si="30"/>
        <v>0</v>
      </c>
    </row>
    <row r="326" spans="1:7" s="6" customFormat="1" hidden="1" x14ac:dyDescent="0.25">
      <c r="A326" s="6">
        <v>787003</v>
      </c>
      <c r="B326" s="6" t="str">
        <f>VLOOKUP(A326,SAP!$1:$1048576,2,FALSE)</f>
        <v>Klamka R-line/klucz100Nm37mm200R06.2MALV</v>
      </c>
      <c r="C326" s="6">
        <f t="shared" si="32"/>
        <v>1</v>
      </c>
      <c r="D326" s="6">
        <f t="shared" si="33"/>
        <v>0</v>
      </c>
      <c r="E326" s="6">
        <f>IF($E$274=8,1,IF($E$274&lt;&gt;8,0))</f>
        <v>0</v>
      </c>
      <c r="F326" s="6">
        <f t="shared" si="29"/>
        <v>0</v>
      </c>
      <c r="G326" s="6">
        <f t="shared" si="30"/>
        <v>0</v>
      </c>
    </row>
    <row r="327" spans="1:7" s="6" customFormat="1" hidden="1" x14ac:dyDescent="0.25">
      <c r="A327" s="6">
        <v>780591</v>
      </c>
      <c r="B327" s="6" t="str">
        <f>VLOOKUP(A327,SAP!$1:$1048576,2,FALSE)</f>
        <v>Klamka R-line/klucz100Nm37mm200R07.2ALV</v>
      </c>
      <c r="C327" s="6">
        <f t="shared" si="32"/>
        <v>1</v>
      </c>
      <c r="D327" s="6">
        <f t="shared" si="33"/>
        <v>0</v>
      </c>
      <c r="E327" s="6">
        <f>IF($E$274=9,1,IF($E$274&lt;&gt;9,0))</f>
        <v>0</v>
      </c>
      <c r="F327" s="6">
        <f t="shared" si="29"/>
        <v>0</v>
      </c>
      <c r="G327" s="6">
        <f t="shared" si="30"/>
        <v>0</v>
      </c>
    </row>
    <row r="328" spans="1:7" s="6" customFormat="1" hidden="1" x14ac:dyDescent="0.25">
      <c r="A328" s="6">
        <v>780592</v>
      </c>
      <c r="B328" s="6" t="str">
        <f>VLOOKUP(A328,SAP!$1:$1048576,2,FALSE)</f>
        <v>Klamka R-line/klucz100Nm37mm200R07.3ALV</v>
      </c>
      <c r="C328" s="6">
        <f t="shared" si="32"/>
        <v>1</v>
      </c>
      <c r="D328" s="6">
        <f t="shared" si="33"/>
        <v>0</v>
      </c>
      <c r="E328" s="6">
        <f>IF($E$274=10,1,IF($E$274&lt;&gt;10,0))</f>
        <v>0</v>
      </c>
      <c r="F328" s="6">
        <f t="shared" si="29"/>
        <v>0</v>
      </c>
      <c r="G328" s="6">
        <f t="shared" si="30"/>
        <v>0</v>
      </c>
    </row>
    <row r="329" spans="1:7" s="6" customFormat="1" hidden="1" x14ac:dyDescent="0.25">
      <c r="A329" s="6">
        <v>780593</v>
      </c>
      <c r="B329" s="6" t="str">
        <f>VLOOKUP(A329,SAP!$1:$1048576,2,FALSE)</f>
        <v>Klamka R-line/klucz100Nm43mm200R01.1ALV</v>
      </c>
      <c r="C329" s="6">
        <f t="shared" si="32"/>
        <v>1</v>
      </c>
      <c r="D329" s="6">
        <f>IF($D$274=3,1,IF($D$274&lt;&gt;3,0))</f>
        <v>1</v>
      </c>
      <c r="E329" s="6">
        <f>IF($E$274=1,1,IF($E$274&lt;&gt;1,0))</f>
        <v>1</v>
      </c>
      <c r="F329" s="6">
        <f t="shared" si="29"/>
        <v>1</v>
      </c>
      <c r="G329" s="6">
        <f t="shared" si="30"/>
        <v>780593</v>
      </c>
    </row>
    <row r="330" spans="1:7" s="6" customFormat="1" hidden="1" x14ac:dyDescent="0.25">
      <c r="A330" s="6">
        <v>786730</v>
      </c>
      <c r="B330" s="6" t="str">
        <f>VLOOKUP(A330,SAP!$1:$1048576,2,FALSE)</f>
        <v>Klamka R-line/klucz100Nm43mm200R01.2ALV</v>
      </c>
      <c r="C330" s="6">
        <f t="shared" si="32"/>
        <v>1</v>
      </c>
      <c r="D330" s="6">
        <f t="shared" ref="D330:D339" si="34">IF($D$274=3,1,IF($D$274&lt;&gt;3,0))</f>
        <v>1</v>
      </c>
      <c r="E330" s="6">
        <f>IF($E$274=2,1,IF($E$274&lt;&gt;2,0))</f>
        <v>0</v>
      </c>
      <c r="F330" s="6">
        <f t="shared" si="29"/>
        <v>0</v>
      </c>
      <c r="G330" s="6">
        <f t="shared" si="30"/>
        <v>0</v>
      </c>
    </row>
    <row r="331" spans="1:7" s="6" customFormat="1" hidden="1" x14ac:dyDescent="0.25">
      <c r="A331" s="6">
        <v>780594</v>
      </c>
      <c r="B331" s="6" t="str">
        <f>VLOOKUP(A331,SAP!$1:$1048576,2,FALSE)</f>
        <v>Klamka R-line/klucz100Nm43mm200R01.3ALV</v>
      </c>
      <c r="C331" s="6">
        <f t="shared" si="32"/>
        <v>1</v>
      </c>
      <c r="D331" s="6">
        <f t="shared" si="34"/>
        <v>1</v>
      </c>
      <c r="E331" s="6">
        <f>IF($E$274=3,1,IF($E$274&lt;&gt;3,0))</f>
        <v>0</v>
      </c>
      <c r="F331" s="6">
        <f t="shared" si="29"/>
        <v>0</v>
      </c>
      <c r="G331" s="6">
        <f t="shared" si="30"/>
        <v>0</v>
      </c>
    </row>
    <row r="332" spans="1:7" s="6" customFormat="1" hidden="1" x14ac:dyDescent="0.25">
      <c r="A332" s="6">
        <v>786755</v>
      </c>
      <c r="B332" s="6" t="str">
        <f>VLOOKUP(A332,SAP!$1:$1048576,2,FALSE)</f>
        <v>Klamka R-line/klucz100Nm43mm200R01.5ALV</v>
      </c>
      <c r="C332" s="6">
        <f t="shared" si="32"/>
        <v>1</v>
      </c>
      <c r="D332" s="6">
        <f t="shared" si="34"/>
        <v>1</v>
      </c>
      <c r="E332" s="6">
        <f>IF($E$274=4,1,IF($E$274&lt;&gt;4,0))</f>
        <v>0</v>
      </c>
      <c r="F332" s="6">
        <f t="shared" si="29"/>
        <v>0</v>
      </c>
      <c r="G332" s="6">
        <f t="shared" si="30"/>
        <v>0</v>
      </c>
    </row>
    <row r="333" spans="1:7" s="6" customFormat="1" hidden="1" x14ac:dyDescent="0.25">
      <c r="A333" s="37">
        <v>820798</v>
      </c>
      <c r="B333" s="6" t="str">
        <f>VLOOKUP(A333,SAP!$1:$1048576,2,FALSE)</f>
        <v>Klamka R-line/klucz100Nm43mm200R02.2ALV</v>
      </c>
      <c r="C333" s="6">
        <f t="shared" si="32"/>
        <v>1</v>
      </c>
      <c r="D333" s="6">
        <f t="shared" si="34"/>
        <v>1</v>
      </c>
      <c r="E333" s="6">
        <f>IF($E$274=5,1,IF($E$274&lt;&gt;5,0))</f>
        <v>0</v>
      </c>
      <c r="F333" s="6">
        <f t="shared" si="29"/>
        <v>0</v>
      </c>
      <c r="G333" s="6">
        <f t="shared" si="30"/>
        <v>0</v>
      </c>
    </row>
    <row r="334" spans="1:7" s="6" customFormat="1" hidden="1" x14ac:dyDescent="0.25">
      <c r="A334" s="6">
        <v>780595</v>
      </c>
      <c r="B334" s="6" t="str">
        <f>VLOOKUP(A334,SAP!$1:$1048576,2,FALSE)</f>
        <v>Klamka R-line/klucz100Nm43mm200R05.3ALV</v>
      </c>
      <c r="C334" s="6">
        <f t="shared" si="32"/>
        <v>1</v>
      </c>
      <c r="D334" s="6">
        <f t="shared" si="34"/>
        <v>1</v>
      </c>
      <c r="E334" s="6">
        <f>IF($E$274=6,1,IF($E$274&lt;&gt;6,0))</f>
        <v>0</v>
      </c>
      <c r="F334" s="6">
        <f t="shared" si="29"/>
        <v>0</v>
      </c>
      <c r="G334" s="6">
        <f t="shared" si="30"/>
        <v>0</v>
      </c>
    </row>
    <row r="335" spans="1:7" s="6" customFormat="1" hidden="1" x14ac:dyDescent="0.25">
      <c r="A335" s="6">
        <v>780596</v>
      </c>
      <c r="B335" s="6" t="str">
        <f>VLOOKUP(A335,SAP!$1:$1048576,2,FALSE)</f>
        <v>Klamka R-line/klucz100Nm43mm200R05.4ALV</v>
      </c>
      <c r="C335" s="6">
        <f t="shared" si="32"/>
        <v>1</v>
      </c>
      <c r="D335" s="6">
        <f t="shared" si="34"/>
        <v>1</v>
      </c>
      <c r="E335" s="6">
        <f>IF($E$274=7,1,IF($E$274&lt;&gt;7,0))</f>
        <v>0</v>
      </c>
      <c r="F335" s="6">
        <f t="shared" si="29"/>
        <v>0</v>
      </c>
      <c r="G335" s="6">
        <f t="shared" si="30"/>
        <v>0</v>
      </c>
    </row>
    <row r="336" spans="1:7" s="6" customFormat="1" hidden="1" x14ac:dyDescent="0.25">
      <c r="A336" s="6">
        <v>780597</v>
      </c>
      <c r="B336" s="6" t="str">
        <f>VLOOKUP(A336,SAP!$1:$1048576,2,FALSE)</f>
        <v>Klamka R-line/klucz100Nm43mm200R05.5ALV</v>
      </c>
      <c r="C336" s="6">
        <f t="shared" si="32"/>
        <v>1</v>
      </c>
      <c r="D336" s="6">
        <f t="shared" si="34"/>
        <v>1</v>
      </c>
      <c r="E336" s="6">
        <f>IF($E$274=8,1,IF($E$274&lt;&gt;8,0))</f>
        <v>0</v>
      </c>
      <c r="F336" s="6">
        <f t="shared" si="29"/>
        <v>0</v>
      </c>
      <c r="G336" s="6">
        <f t="shared" si="30"/>
        <v>0</v>
      </c>
    </row>
    <row r="337" spans="1:7" s="6" customFormat="1" hidden="1" x14ac:dyDescent="0.25">
      <c r="A337" s="6">
        <v>787004</v>
      </c>
      <c r="B337" s="6" t="str">
        <f>VLOOKUP(A337,SAP!$1:$1048576,2,FALSE)</f>
        <v>Klamka R-line/klucz100Nm43mm200R06.2MALV</v>
      </c>
      <c r="C337" s="6">
        <f t="shared" si="32"/>
        <v>1</v>
      </c>
      <c r="D337" s="6">
        <f t="shared" si="34"/>
        <v>1</v>
      </c>
      <c r="E337" s="6">
        <f>IF($E$274=9,1,IF($E$274&lt;&gt;9,0))</f>
        <v>0</v>
      </c>
      <c r="F337" s="6">
        <f t="shared" si="29"/>
        <v>0</v>
      </c>
      <c r="G337" s="6">
        <f t="shared" si="30"/>
        <v>0</v>
      </c>
    </row>
    <row r="338" spans="1:7" s="6" customFormat="1" hidden="1" x14ac:dyDescent="0.25">
      <c r="A338" s="6">
        <v>780598</v>
      </c>
      <c r="B338" s="6" t="str">
        <f>VLOOKUP(A338,SAP!$1:$1048576,2,FALSE)</f>
        <v>Klamka R-line/klucz100Nm43mm200R07.2ALV</v>
      </c>
      <c r="C338" s="6">
        <f t="shared" si="32"/>
        <v>1</v>
      </c>
      <c r="D338" s="6">
        <f t="shared" si="34"/>
        <v>1</v>
      </c>
      <c r="E338" s="6">
        <f>IF($E$274=10,1,IF($E$274&lt;&gt;10,0))</f>
        <v>0</v>
      </c>
      <c r="F338" s="6">
        <f t="shared" si="29"/>
        <v>0</v>
      </c>
      <c r="G338" s="6">
        <f t="shared" si="30"/>
        <v>0</v>
      </c>
    </row>
    <row r="339" spans="1:7" s="6" customFormat="1" hidden="1" x14ac:dyDescent="0.25">
      <c r="A339" s="6">
        <v>780599</v>
      </c>
      <c r="B339" s="6" t="str">
        <f>VLOOKUP(A339,SAP!$1:$1048576,2,FALSE)</f>
        <v>Klamka R-line/klucz100Nm43mm200R07.3ALV</v>
      </c>
      <c r="C339" s="6">
        <f t="shared" si="32"/>
        <v>1</v>
      </c>
      <c r="D339" s="6">
        <f t="shared" si="34"/>
        <v>1</v>
      </c>
      <c r="E339" s="6">
        <f>IF($E$274=11,1,IF($E$274&lt;&gt;11,0))</f>
        <v>0</v>
      </c>
      <c r="F339" s="6">
        <f t="shared" ref="F339:F356" si="35">C339*D339*E339</f>
        <v>0</v>
      </c>
      <c r="G339" s="6">
        <f t="shared" ref="G339:G356" si="36">F339*A339</f>
        <v>0</v>
      </c>
    </row>
    <row r="340" spans="1:7" s="6" customFormat="1" hidden="1" x14ac:dyDescent="0.25">
      <c r="A340" s="6">
        <v>786179</v>
      </c>
      <c r="B340" s="6" t="str">
        <f>VLOOKUP(A340,SAP!$1:$1048576,2,FALSE)</f>
        <v>Klamka R-lineDwustr.nisk100mm200R01.1ALV</v>
      </c>
      <c r="C340" s="6">
        <f>IF($C$274=4,1,IF($C$274&lt;&gt;4,0))</f>
        <v>0</v>
      </c>
      <c r="D340" s="6">
        <f>IF($D$274=4,1,IF($D$274&lt;&gt;4,0))</f>
        <v>0</v>
      </c>
      <c r="E340" s="6">
        <f>IF($E$274=1,1,IF($E$274&lt;&gt;1,0))</f>
        <v>1</v>
      </c>
      <c r="F340" s="6">
        <f t="shared" si="35"/>
        <v>0</v>
      </c>
      <c r="G340" s="6">
        <f t="shared" si="36"/>
        <v>0</v>
      </c>
    </row>
    <row r="341" spans="1:7" s="6" customFormat="1" hidden="1" x14ac:dyDescent="0.25">
      <c r="A341" s="6">
        <v>786221</v>
      </c>
      <c r="B341" s="6" t="str">
        <f>VLOOKUP(A341,SAP!$1:$1048576,2,FALSE)</f>
        <v>Klamka R-lineDwustr.nisk100mm200R01.5ALV</v>
      </c>
      <c r="C341" s="6">
        <f t="shared" ref="C341:C356" si="37">IF($C$274=4,1,IF($C$274&lt;&gt;4,0))</f>
        <v>0</v>
      </c>
      <c r="D341" s="6">
        <f t="shared" ref="D341:D348" si="38">IF($D$274=4,1,IF($D$274&lt;&gt;4,0))</f>
        <v>0</v>
      </c>
      <c r="E341" s="6">
        <f>IF($E$274=4,1,IF($E$274&lt;&gt;4,0))</f>
        <v>0</v>
      </c>
      <c r="F341" s="6">
        <f t="shared" si="35"/>
        <v>0</v>
      </c>
      <c r="G341" s="6">
        <f t="shared" si="36"/>
        <v>0</v>
      </c>
    </row>
    <row r="342" spans="1:7" s="6" customFormat="1" hidden="1" x14ac:dyDescent="0.25">
      <c r="A342" s="37">
        <v>820799</v>
      </c>
      <c r="B342" s="6" t="str">
        <f>VLOOKUP(A342,SAP!$1:$1048576,2,FALSE)</f>
        <v>Klamka R-lineDwustr.nisk100mm200R02.2ALV</v>
      </c>
      <c r="C342" s="6">
        <f t="shared" si="37"/>
        <v>0</v>
      </c>
      <c r="D342" s="6">
        <f t="shared" si="38"/>
        <v>0</v>
      </c>
      <c r="E342" s="6">
        <f>IF($E$274=5,1,IF($E$274&lt;&gt;5,0))</f>
        <v>0</v>
      </c>
      <c r="F342" s="6">
        <f t="shared" si="35"/>
        <v>0</v>
      </c>
      <c r="G342" s="6">
        <f t="shared" si="36"/>
        <v>0</v>
      </c>
    </row>
    <row r="343" spans="1:7" s="6" customFormat="1" hidden="1" x14ac:dyDescent="0.25">
      <c r="A343" s="6">
        <v>786180</v>
      </c>
      <c r="B343" s="6" t="str">
        <f>VLOOKUP(A343,SAP!$1:$1048576,2,FALSE)</f>
        <v>Klamka R-lineDwustr.nisk100mm200R05.3ALV</v>
      </c>
      <c r="C343" s="6">
        <f t="shared" si="37"/>
        <v>0</v>
      </c>
      <c r="D343" s="6">
        <f t="shared" si="38"/>
        <v>0</v>
      </c>
      <c r="E343" s="6">
        <f>IF($E$274=6,1,IF($E$274&lt;&gt;6,0))</f>
        <v>0</v>
      </c>
      <c r="F343" s="6">
        <f t="shared" si="35"/>
        <v>0</v>
      </c>
      <c r="G343" s="6">
        <f t="shared" si="36"/>
        <v>0</v>
      </c>
    </row>
    <row r="344" spans="1:7" s="6" customFormat="1" hidden="1" x14ac:dyDescent="0.25">
      <c r="A344" s="6">
        <v>786181</v>
      </c>
      <c r="B344" s="6" t="str">
        <f>VLOOKUP(A344,SAP!$1:$1048576,2,FALSE)</f>
        <v>Klamka R-lineDwustr.nisk100mm200R05.4ALV</v>
      </c>
      <c r="C344" s="6">
        <f t="shared" si="37"/>
        <v>0</v>
      </c>
      <c r="D344" s="6">
        <f t="shared" si="38"/>
        <v>0</v>
      </c>
      <c r="E344" s="6">
        <f>IF($E$274=7,1,IF($E$274&lt;&gt;7,0))</f>
        <v>0</v>
      </c>
      <c r="F344" s="6">
        <f t="shared" si="35"/>
        <v>0</v>
      </c>
      <c r="G344" s="6">
        <f t="shared" si="36"/>
        <v>0</v>
      </c>
    </row>
    <row r="345" spans="1:7" s="6" customFormat="1" hidden="1" x14ac:dyDescent="0.25">
      <c r="A345" s="6">
        <v>786182</v>
      </c>
      <c r="B345" s="6" t="str">
        <f>VLOOKUP(A345,SAP!$1:$1048576,2,FALSE)</f>
        <v>Klamka R-lineDwustr.nisk100mm200R05.5ALV</v>
      </c>
      <c r="C345" s="6">
        <f t="shared" si="37"/>
        <v>0</v>
      </c>
      <c r="D345" s="6">
        <f t="shared" si="38"/>
        <v>0</v>
      </c>
      <c r="E345" s="6">
        <f>IF($E$274=8,1,IF($E$274&lt;&gt;8,0))</f>
        <v>0</v>
      </c>
      <c r="F345" s="6">
        <f t="shared" si="35"/>
        <v>0</v>
      </c>
      <c r="G345" s="6">
        <f t="shared" si="36"/>
        <v>0</v>
      </c>
    </row>
    <row r="346" spans="1:7" s="6" customFormat="1" hidden="1" x14ac:dyDescent="0.25">
      <c r="A346" s="6">
        <v>786222</v>
      </c>
      <c r="B346" s="6" t="str">
        <f>VLOOKUP(A346,SAP!$1:$1048576,2,FALSE)</f>
        <v>Klamka R-lineDwustr.nisk100mm200R06.2ALV</v>
      </c>
      <c r="C346" s="6">
        <f t="shared" si="37"/>
        <v>0</v>
      </c>
      <c r="D346" s="6">
        <f t="shared" si="38"/>
        <v>0</v>
      </c>
      <c r="E346" s="6">
        <f>IF($E$274=9,1,IF($E$274&lt;&gt;9,0))</f>
        <v>0</v>
      </c>
      <c r="F346" s="6">
        <f t="shared" si="35"/>
        <v>0</v>
      </c>
      <c r="G346" s="6">
        <f t="shared" si="36"/>
        <v>0</v>
      </c>
    </row>
    <row r="347" spans="1:7" s="6" customFormat="1" hidden="1" x14ac:dyDescent="0.25">
      <c r="A347" s="6">
        <v>786183</v>
      </c>
      <c r="B347" s="6" t="str">
        <f>VLOOKUP(A347,SAP!$1:$1048576,2,FALSE)</f>
        <v>Klamka R-lineDwustr.nisk100mm200R07.2ALV</v>
      </c>
      <c r="C347" s="6">
        <f t="shared" si="37"/>
        <v>0</v>
      </c>
      <c r="D347" s="6">
        <f t="shared" si="38"/>
        <v>0</v>
      </c>
      <c r="E347" s="6">
        <f>IF($E$274=10,1,IF($E$274&lt;&gt;10,0))</f>
        <v>0</v>
      </c>
      <c r="F347" s="6">
        <f t="shared" si="35"/>
        <v>0</v>
      </c>
      <c r="G347" s="6">
        <f t="shared" si="36"/>
        <v>0</v>
      </c>
    </row>
    <row r="348" spans="1:7" s="6" customFormat="1" hidden="1" x14ac:dyDescent="0.25">
      <c r="A348" s="6">
        <v>786184</v>
      </c>
      <c r="B348" s="6" t="str">
        <f>VLOOKUP(A348,SAP!$1:$1048576,2,FALSE)</f>
        <v>Klamka R-lineDwustr.nisk100mm200R07.3ALV</v>
      </c>
      <c r="C348" s="6">
        <f t="shared" si="37"/>
        <v>0</v>
      </c>
      <c r="D348" s="6">
        <f t="shared" si="38"/>
        <v>0</v>
      </c>
      <c r="E348" s="6">
        <f>IF($E$274=11,1,IF($E$274&lt;&gt;11,0))</f>
        <v>0</v>
      </c>
      <c r="F348" s="6">
        <f t="shared" si="35"/>
        <v>0</v>
      </c>
      <c r="G348" s="6">
        <f t="shared" si="36"/>
        <v>0</v>
      </c>
    </row>
    <row r="349" spans="1:7" s="6" customFormat="1" hidden="1" x14ac:dyDescent="0.25">
      <c r="A349" s="6">
        <v>786225</v>
      </c>
      <c r="B349" s="6" t="str">
        <f>VLOOKUP(A349,SAP!$1:$1048576,2,FALSE)</f>
        <v>Klamka R-lineDwustr.nisk135mm200R01.1ALV</v>
      </c>
      <c r="C349" s="6">
        <f t="shared" si="37"/>
        <v>0</v>
      </c>
      <c r="D349" s="6">
        <f>IF($D$274=5,1,IF($D$274&lt;&gt;5,0))</f>
        <v>0</v>
      </c>
      <c r="E349" s="6">
        <f>IF($E$274=1,1,IF($E$274&lt;&gt;1,0))</f>
        <v>1</v>
      </c>
      <c r="F349" s="6">
        <f t="shared" si="35"/>
        <v>0</v>
      </c>
      <c r="G349" s="6">
        <f t="shared" si="36"/>
        <v>0</v>
      </c>
    </row>
    <row r="350" spans="1:7" s="6" customFormat="1" hidden="1" x14ac:dyDescent="0.25">
      <c r="A350" s="6">
        <v>786220</v>
      </c>
      <c r="B350" s="6" t="str">
        <f>VLOOKUP(A350,SAP!$1:$1048576,2,FALSE)</f>
        <v>Klamka R-lineDwustr.nisk135mm200R01.5ALV</v>
      </c>
      <c r="C350" s="6">
        <f t="shared" si="37"/>
        <v>0</v>
      </c>
      <c r="D350" s="6">
        <f t="shared" ref="D350:D356" si="39">IF($D$274=5,1,IF($D$274&lt;&gt;5,0))</f>
        <v>0</v>
      </c>
      <c r="E350" s="6">
        <f>IF($E$274=4,1,IF($E$274&lt;&gt;4,0))</f>
        <v>0</v>
      </c>
      <c r="F350" s="6">
        <f t="shared" si="35"/>
        <v>0</v>
      </c>
      <c r="G350" s="6">
        <f t="shared" si="36"/>
        <v>0</v>
      </c>
    </row>
    <row r="351" spans="1:7" s="6" customFormat="1" hidden="1" x14ac:dyDescent="0.25">
      <c r="A351" s="6">
        <v>786226</v>
      </c>
      <c r="B351" s="6" t="str">
        <f>VLOOKUP(A351,SAP!$1:$1048576,2,FALSE)</f>
        <v>Klamka R-lineDwustr.nisk135mm200R05.3ALV</v>
      </c>
      <c r="C351" s="6">
        <f t="shared" si="37"/>
        <v>0</v>
      </c>
      <c r="D351" s="6">
        <f t="shared" si="39"/>
        <v>0</v>
      </c>
      <c r="E351" s="6">
        <f>IF($E$274=5,1,IF($E$274&lt;&gt;5,0))</f>
        <v>0</v>
      </c>
      <c r="F351" s="6">
        <f t="shared" si="35"/>
        <v>0</v>
      </c>
      <c r="G351" s="6">
        <f t="shared" si="36"/>
        <v>0</v>
      </c>
    </row>
    <row r="352" spans="1:7" s="6" customFormat="1" hidden="1" x14ac:dyDescent="0.25">
      <c r="A352" s="6">
        <v>786227</v>
      </c>
      <c r="B352" s="6" t="str">
        <f>VLOOKUP(A352,SAP!$1:$1048576,2,FALSE)</f>
        <v>Klamka R-lineDwustr.nisk135mm200R05.4ALV</v>
      </c>
      <c r="C352" s="6">
        <f t="shared" si="37"/>
        <v>0</v>
      </c>
      <c r="D352" s="6">
        <f t="shared" si="39"/>
        <v>0</v>
      </c>
      <c r="E352" s="6">
        <f>IF($E$274=6,1,IF($E$274&lt;&gt;6,0))</f>
        <v>0</v>
      </c>
      <c r="F352" s="6">
        <f t="shared" si="35"/>
        <v>0</v>
      </c>
      <c r="G352" s="6">
        <f t="shared" si="36"/>
        <v>0</v>
      </c>
    </row>
    <row r="353" spans="1:7" s="6" customFormat="1" hidden="1" x14ac:dyDescent="0.25">
      <c r="A353" s="6">
        <v>786228</v>
      </c>
      <c r="B353" s="6" t="str">
        <f>VLOOKUP(A353,SAP!$1:$1048576,2,FALSE)</f>
        <v>Klamka R-lineDwustr.nisk135mm200R05.5ALV</v>
      </c>
      <c r="C353" s="6">
        <f t="shared" si="37"/>
        <v>0</v>
      </c>
      <c r="D353" s="6">
        <f t="shared" si="39"/>
        <v>0</v>
      </c>
      <c r="E353" s="6">
        <f>IF($E$274=7,1,IF($E$274&lt;&gt;7,0))</f>
        <v>0</v>
      </c>
      <c r="F353" s="6">
        <f t="shared" si="35"/>
        <v>0</v>
      </c>
      <c r="G353" s="6">
        <f t="shared" si="36"/>
        <v>0</v>
      </c>
    </row>
    <row r="354" spans="1:7" s="6" customFormat="1" hidden="1" x14ac:dyDescent="0.25">
      <c r="A354" s="6">
        <v>786229</v>
      </c>
      <c r="B354" s="6" t="str">
        <f>VLOOKUP(A354,SAP!$1:$1048576,2,FALSE)</f>
        <v>Klamka R-lineDwustr.nisk135mm200R06.2ALV</v>
      </c>
      <c r="C354" s="6">
        <f t="shared" si="37"/>
        <v>0</v>
      </c>
      <c r="D354" s="6">
        <f t="shared" si="39"/>
        <v>0</v>
      </c>
      <c r="E354" s="6">
        <f>IF($E$274=8,1,IF($E$274&lt;&gt;8,0))</f>
        <v>0</v>
      </c>
      <c r="F354" s="6">
        <f t="shared" si="35"/>
        <v>0</v>
      </c>
      <c r="G354" s="6">
        <f t="shared" si="36"/>
        <v>0</v>
      </c>
    </row>
    <row r="355" spans="1:7" s="6" customFormat="1" hidden="1" x14ac:dyDescent="0.25">
      <c r="A355" s="6">
        <v>786230</v>
      </c>
      <c r="B355" s="6" t="str">
        <f>VLOOKUP(A355,SAP!$1:$1048576,2,FALSE)</f>
        <v>Klamka R-lineDwustr.nisk135mm200R07.2ALV</v>
      </c>
      <c r="C355" s="6">
        <f t="shared" si="37"/>
        <v>0</v>
      </c>
      <c r="D355" s="6">
        <f t="shared" si="39"/>
        <v>0</v>
      </c>
      <c r="E355" s="6">
        <f>IF($E$274=9,1,IF($E$274&lt;&gt;9,0))</f>
        <v>0</v>
      </c>
      <c r="F355" s="6">
        <f t="shared" si="35"/>
        <v>0</v>
      </c>
      <c r="G355" s="6">
        <f t="shared" si="36"/>
        <v>0</v>
      </c>
    </row>
    <row r="356" spans="1:7" s="6" customFormat="1" hidden="1" x14ac:dyDescent="0.25">
      <c r="A356" s="6">
        <v>786219</v>
      </c>
      <c r="B356" s="6" t="str">
        <f>VLOOKUP(A356,SAP!$1:$1048576,2,FALSE)</f>
        <v>Klamka R-lineDwustr.nisk135mm200R07.3ALV</v>
      </c>
      <c r="C356" s="6">
        <f t="shared" si="37"/>
        <v>0</v>
      </c>
      <c r="D356" s="6">
        <f t="shared" si="39"/>
        <v>0</v>
      </c>
      <c r="E356" s="6">
        <f>IF($E$274=10,1,IF($E$274&lt;&gt;10,0))</f>
        <v>0</v>
      </c>
      <c r="F356" s="6">
        <f t="shared" si="35"/>
        <v>0</v>
      </c>
      <c r="G356" s="6">
        <f t="shared" si="36"/>
        <v>0</v>
      </c>
    </row>
    <row r="357" spans="1:7" s="6" customFormat="1" hidden="1" x14ac:dyDescent="0.25">
      <c r="G357" s="32">
        <f>SUM(G275:G356)</f>
        <v>780593</v>
      </c>
    </row>
    <row r="358" spans="1:7" s="6" customFormat="1" hidden="1" x14ac:dyDescent="0.25"/>
    <row r="359" spans="1:7" s="6" customFormat="1" hidden="1" x14ac:dyDescent="0.25">
      <c r="A359" s="6">
        <v>494472</v>
      </c>
      <c r="B359" s="6" t="str">
        <f>VLOOKUP(A359,SAP!$1:$1048576,2,FALSE)</f>
        <v>Pochwyt zlicowany PatioLife 43mm R01.1</v>
      </c>
      <c r="C359" s="8">
        <f>H87</f>
        <v>3</v>
      </c>
      <c r="D359" s="8">
        <f>IF(C359=1,0,IF(C359=2,A359,IF(C359=3,A360,IF(C359=4,A361,IF(C359=5,A362,IF(C359=6,A363,IF(C359=7,A364)))))))</f>
        <v>623221</v>
      </c>
    </row>
    <row r="360" spans="1:7" s="6" customFormat="1" hidden="1" x14ac:dyDescent="0.25">
      <c r="A360" s="6">
        <v>623221</v>
      </c>
      <c r="B360" s="6" t="str">
        <f>VLOOKUP(A360,SAP!$1:$1048576,2,FALSE)</f>
        <v>Pochwyt zlicowany PatioLife 43mm R01.3</v>
      </c>
    </row>
    <row r="361" spans="1:7" s="6" customFormat="1" hidden="1" x14ac:dyDescent="0.25">
      <c r="A361" s="6">
        <v>494473</v>
      </c>
      <c r="B361" s="6" t="str">
        <f>VLOOKUP(A361,SAP!$1:$1048576,2,FALSE)</f>
        <v>Pochwyt zlicowany PatioLife 43mm R05.3</v>
      </c>
    </row>
    <row r="362" spans="1:7" s="6" customFormat="1" hidden="1" x14ac:dyDescent="0.25">
      <c r="A362" s="6">
        <v>614625</v>
      </c>
      <c r="B362" s="6" t="str">
        <f>VLOOKUP(A362,SAP!$1:$1048576,2,FALSE)</f>
        <v>Pochwyt zlicowany PatioLife 43mm R05.5</v>
      </c>
    </row>
    <row r="363" spans="1:7" s="6" customFormat="1" hidden="1" x14ac:dyDescent="0.25">
      <c r="A363" s="6">
        <v>494474</v>
      </c>
      <c r="B363" s="6" t="str">
        <f>VLOOKUP(A363,SAP!$1:$1048576,2,FALSE)</f>
        <v>Pochwyt zlicowany PatioLife 43mm R07.2</v>
      </c>
    </row>
    <row r="364" spans="1:7" s="6" customFormat="1" hidden="1" x14ac:dyDescent="0.25">
      <c r="A364" s="6">
        <v>605551</v>
      </c>
      <c r="B364" s="6" t="str">
        <f>VLOOKUP(A364,SAP!1:1048576,2,FALSE)</f>
        <v>Pochwyt zew. 43MM R06.2 IS</v>
      </c>
    </row>
    <row r="365" spans="1:7" s="6" customFormat="1" hidden="1" x14ac:dyDescent="0.25">
      <c r="A365" s="6">
        <v>817180</v>
      </c>
      <c r="B365" s="6" t="str">
        <f>VLOOKUP(A365,SAP!1:1048576,2,FALSE)</f>
        <v>Zestaw śrub M5X70 (2szt.)</v>
      </c>
    </row>
    <row r="366" spans="1:7" s="6" customFormat="1" hidden="1" x14ac:dyDescent="0.25">
      <c r="B366" s="107" t="s">
        <v>1205</v>
      </c>
      <c r="C366" s="6" t="str">
        <f>SAP!A101</f>
        <v>brak</v>
      </c>
    </row>
    <row r="367" spans="1:7" s="6" customFormat="1" hidden="1" x14ac:dyDescent="0.25">
      <c r="A367" s="6">
        <v>820028</v>
      </c>
      <c r="B367" s="6" t="str">
        <f>VLOOKUP(A367,SAP!A134:G409,2,0)</f>
        <v>Pochwyt zlicowany 43mm R01.1 PIN</v>
      </c>
      <c r="C367" s="6" t="str">
        <f>SAP!A89</f>
        <v>R01.1 Naturalny srebrny</v>
      </c>
    </row>
    <row r="368" spans="1:7" s="6" customFormat="1" hidden="1" x14ac:dyDescent="0.25">
      <c r="A368" s="6">
        <v>820029</v>
      </c>
      <c r="B368" s="6" t="str">
        <f>VLOOKUP(A368,SAP!A135:G410,2,0)</f>
        <v>Pochwyt zlicowany 43mm R01.2 PIN</v>
      </c>
      <c r="C368" s="6" t="str">
        <f>SAP!A90</f>
        <v>R01.2 Nowy srebrny</v>
      </c>
    </row>
    <row r="369" spans="1:4" s="6" customFormat="1" hidden="1" x14ac:dyDescent="0.25">
      <c r="A369" s="6">
        <v>820030</v>
      </c>
      <c r="B369" s="6" t="str">
        <f>VLOOKUP(A369,SAP!A136:G411,2,0)</f>
        <v>Pochwyt zlicowany 43mm R01.3 PIN</v>
      </c>
      <c r="C369" s="6" t="str">
        <f>SAP!A91</f>
        <v>R01.3 Tytan</v>
      </c>
    </row>
    <row r="370" spans="1:4" s="6" customFormat="1" hidden="1" x14ac:dyDescent="0.25">
      <c r="A370" s="6">
        <v>820031</v>
      </c>
      <c r="B370" s="6" t="str">
        <f>VLOOKUP(A370,SAP!A137:G462,2,0)</f>
        <v>Pochwyt zlicowany 43mm R01.5 PIN</v>
      </c>
      <c r="C370" s="6" t="str">
        <f>SAP!A92</f>
        <v>R01.5 Srebrny</v>
      </c>
    </row>
    <row r="371" spans="1:4" s="6" customFormat="1" hidden="1" x14ac:dyDescent="0.25">
      <c r="A371" s="6">
        <v>820032</v>
      </c>
      <c r="B371" s="6" t="str">
        <f>VLOOKUP(A371,SAP!A138:G463,2,0)</f>
        <v>Pochwyt zlicowany 43mm R02.2 PIN</v>
      </c>
      <c r="C371" s="6" t="str">
        <f>SAP!A93</f>
        <v>R02.2 Antracyt</v>
      </c>
    </row>
    <row r="372" spans="1:4" s="6" customFormat="1" hidden="1" x14ac:dyDescent="0.25">
      <c r="A372" s="6">
        <v>820033</v>
      </c>
      <c r="B372" s="6" t="str">
        <f>VLOOKUP(A372,SAP!A139:G464,2,0)</f>
        <v>Pochwyt zlicowany 43mm R05.3 PIN</v>
      </c>
      <c r="C372" s="6" t="str">
        <f>SAP!A94</f>
        <v>R05.3 Średni brąz</v>
      </c>
    </row>
    <row r="373" spans="1:4" s="6" customFormat="1" hidden="1" x14ac:dyDescent="0.25">
      <c r="A373" s="6">
        <v>820034</v>
      </c>
      <c r="B373" s="6" t="str">
        <f>VLOOKUP(A373,SAP!A140:G465,2,0)</f>
        <v>Pochwyt zlicowany 43mm R05.4 PIN</v>
      </c>
      <c r="C373" s="6" t="str">
        <f>SAP!A95</f>
        <v>R05.4 Ciemny brąz</v>
      </c>
    </row>
    <row r="374" spans="1:4" s="6" customFormat="1" hidden="1" x14ac:dyDescent="0.25">
      <c r="A374" s="6">
        <v>820055</v>
      </c>
      <c r="B374" s="6" t="str">
        <f>VLOOKUP(A374,SAP!A141:G466,2,0)</f>
        <v>Pochwyt zlicowany 43mm R05.5 PIN</v>
      </c>
      <c r="C374" s="6" t="str">
        <f>SAP!A96</f>
        <v>R05.5 Brązowy</v>
      </c>
    </row>
    <row r="375" spans="1:4" s="6" customFormat="1" hidden="1" x14ac:dyDescent="0.25">
      <c r="A375" s="6">
        <v>820070</v>
      </c>
      <c r="B375" s="6" t="str">
        <f>VLOOKUP(A375,SAP!A142:G467,2,0)</f>
        <v>Pochwyt zlicowany 43mm R06.2M PIN</v>
      </c>
      <c r="C375" s="6" t="str">
        <f>SAP!A97</f>
        <v>R06.2M Czarny Mat</v>
      </c>
    </row>
    <row r="376" spans="1:4" s="6" customFormat="1" hidden="1" x14ac:dyDescent="0.25">
      <c r="A376" s="6">
        <v>820057</v>
      </c>
      <c r="B376" s="6" t="str">
        <f>VLOOKUP(A376,SAP!A143:G468,2,0)</f>
        <v>Pochwyt zlicowany 43mm R07.2 PIN</v>
      </c>
      <c r="C376" s="6" t="str">
        <f>SAP!A98</f>
        <v>R07.2 Biały</v>
      </c>
    </row>
    <row r="377" spans="1:4" s="6" customFormat="1" hidden="1" x14ac:dyDescent="0.25">
      <c r="A377" s="6">
        <v>820058</v>
      </c>
      <c r="B377" s="6" t="str">
        <f>VLOOKUP(A377,SAP!A144:G469,2,0)</f>
        <v>Pochwyt zlicowany 43mm R07.3 PIN</v>
      </c>
      <c r="C377" s="6" t="str">
        <f>SAP!A99</f>
        <v>R07.3 Kremowy</v>
      </c>
    </row>
    <row r="378" spans="1:4" s="6" customFormat="1" hidden="1" x14ac:dyDescent="0.25">
      <c r="A378" s="6">
        <v>820059</v>
      </c>
      <c r="B378" s="6" t="str">
        <f>VLOOKUP(A378,SAP!A145:G470,2,0)</f>
        <v>Pochwyt zlicowany 43mm surowy PIN</v>
      </c>
      <c r="C378" s="6" t="str">
        <f>SAP!A100</f>
        <v>surowy</v>
      </c>
    </row>
    <row r="379" spans="1:4" s="6" customFormat="1" hidden="1" x14ac:dyDescent="0.25">
      <c r="C379" s="106">
        <v>1</v>
      </c>
      <c r="D379" s="8">
        <f>IF(C379=1,0,IF(C379=2,A367,IF(C379=3,A368,IF(C379=4,A369,IF(C379=5,A370,IF(C379=6,A371,IF(C379=7,A372,IF(C379=8,A373,IF(C379=9,A374,IF(C379=10,A375,IF(C379=11,A376,IF(C379=12,A377,IF(C379=13,A378)))))))))))))</f>
        <v>0</v>
      </c>
    </row>
    <row r="380" spans="1:4" s="6" customFormat="1" hidden="1" x14ac:dyDescent="0.25"/>
    <row r="381" spans="1:4" s="6" customFormat="1" hidden="1" x14ac:dyDescent="0.25">
      <c r="C381" s="6">
        <f>F91</f>
        <v>1</v>
      </c>
    </row>
    <row r="382" spans="1:4" s="6" customFormat="1" hidden="1" x14ac:dyDescent="0.25">
      <c r="A382" s="6">
        <v>494466</v>
      </c>
      <c r="B382" s="6" t="s">
        <v>1125</v>
      </c>
      <c r="C382" s="6">
        <f>IF(C381=1,1)</f>
        <v>1</v>
      </c>
      <c r="D382" s="6">
        <f>C382*A382</f>
        <v>494466</v>
      </c>
    </row>
    <row r="383" spans="1:4" s="6" customFormat="1" hidden="1" x14ac:dyDescent="0.25">
      <c r="A383" s="6">
        <v>228260</v>
      </c>
      <c r="B383" s="6" t="s">
        <v>1126</v>
      </c>
      <c r="C383" s="6" t="b">
        <f>IF(C381=3,1)</f>
        <v>0</v>
      </c>
      <c r="D383" s="6">
        <f t="shared" ref="D383:D385" si="40">C383*A383</f>
        <v>0</v>
      </c>
    </row>
    <row r="384" spans="1:4" s="6" customFormat="1" hidden="1" x14ac:dyDescent="0.25">
      <c r="A384" s="6">
        <v>494467</v>
      </c>
      <c r="B384" s="6" t="s">
        <v>1127</v>
      </c>
      <c r="C384" s="6" t="b">
        <f>IF(C381=5,1)</f>
        <v>0</v>
      </c>
      <c r="D384" s="6">
        <f t="shared" si="40"/>
        <v>0</v>
      </c>
    </row>
    <row r="385" spans="1:5" s="6" customFormat="1" hidden="1" x14ac:dyDescent="0.25">
      <c r="A385" s="6">
        <v>258952</v>
      </c>
      <c r="B385" s="6" t="s">
        <v>1128</v>
      </c>
      <c r="C385" s="6" t="b">
        <f>IF(C381=9,1)</f>
        <v>0</v>
      </c>
      <c r="D385" s="6">
        <f t="shared" si="40"/>
        <v>0</v>
      </c>
    </row>
    <row r="386" spans="1:5" s="6" customFormat="1" hidden="1" x14ac:dyDescent="0.25">
      <c r="D386" s="32">
        <f>SUM(D382:D385)</f>
        <v>494466</v>
      </c>
    </row>
    <row r="387" spans="1:5" s="6" customFormat="1" hidden="1" x14ac:dyDescent="0.25"/>
    <row r="388" spans="1:5" s="6" customFormat="1" hidden="1" x14ac:dyDescent="0.25">
      <c r="A388" s="6">
        <v>350401</v>
      </c>
      <c r="B388" s="6" t="str">
        <f>VLOOKUP(A388,SAP!A134:G411,2,0)</f>
        <v>Nakładka naprawcza-łącznik okuć NT</v>
      </c>
      <c r="C388" s="11" t="b">
        <v>0</v>
      </c>
      <c r="D388" s="6">
        <f>IF(C388=TRUE,A388,0)</f>
        <v>0</v>
      </c>
    </row>
    <row r="389" spans="1:5" s="6" customFormat="1" hidden="1" x14ac:dyDescent="0.25">
      <c r="A389" s="6">
        <v>809520</v>
      </c>
      <c r="B389" s="6" t="str">
        <f>VLOOKUP(A389,SAP!A135:G412,2,0)</f>
        <v>Szczotka wózka PIN</v>
      </c>
      <c r="C389" s="126" t="b">
        <v>0</v>
      </c>
      <c r="D389" s="6">
        <f>IF(C389=TRUE,A389,0)</f>
        <v>0</v>
      </c>
    </row>
    <row r="390" spans="1:5" s="6" customFormat="1" hidden="1" x14ac:dyDescent="0.25">
      <c r="A390" s="5"/>
      <c r="B390" s="5"/>
      <c r="C390" s="5"/>
      <c r="D390" s="5"/>
      <c r="E390" s="5"/>
    </row>
  </sheetData>
  <sheetProtection password="DD29" sheet="1" objects="1" scenarios="1"/>
  <scenarios current="0" show="0">
    <scenario name="Zasuwnica" locked="1" count="2" user="Pawel Dolman" comment="Autor: Pawel Dolman dn. 18.01.2018">
      <inputCells r="B34" val="Zasuwnica standard"/>
      <inputCells r="B36" val="Zasuwnica PZ"/>
    </scenario>
  </scenarios>
  <conditionalFormatting sqref="B41">
    <cfRule type="containsText" dxfId="24" priority="10" operator="containsText" text="DOBÓR NIEMOŻLIWY">
      <formula>NOT(ISERROR(SEARCH("DOBÓR NIEMOŻLIWY",B41)))</formula>
    </cfRule>
  </conditionalFormatting>
  <conditionalFormatting sqref="A253:A257">
    <cfRule type="expression" dxfId="23" priority="1">
      <formula>$O253="na wycofaniu/im Auslauf"</formula>
    </cfRule>
    <cfRule type="expression" dxfId="22" priority="2">
      <formula>$O253="część serwisowa/Serivce-Teil"</formula>
    </cfRule>
    <cfRule type="expression" dxfId="21" priority="9">
      <formula>$O253="wycofany/ausgelaufen"</formula>
    </cfRule>
  </conditionalFormatting>
  <conditionalFormatting sqref="A253:A257">
    <cfRule type="expression" dxfId="20" priority="6">
      <formula>$U253="niedostępny/nicht verfuegbar"</formula>
    </cfRule>
    <cfRule type="expression" dxfId="19" priority="7">
      <formula>$U253="część serwisowa/Serivce-Teil"</formula>
    </cfRule>
    <cfRule type="expression" dxfId="18" priority="8">
      <formula>$U253="na wycofaniu/im Auslauf"</formula>
    </cfRule>
  </conditionalFormatting>
  <conditionalFormatting sqref="A253:A257">
    <cfRule type="expression" dxfId="17" priority="3">
      <formula>$U253="niedostępny/nicht verfuegbar"</formula>
    </cfRule>
    <cfRule type="expression" dxfId="16" priority="4">
      <formula>$U253="część serwisowa/Serivce-Teil"</formula>
    </cfRule>
    <cfRule type="expression" dxfId="15" priority="5">
      <formula>$U253="na wycofaniu/im Auslauf"</formula>
    </cfRule>
  </conditionalFormatting>
  <hyperlinks>
    <hyperlink ref="A5" location="'Schemat A'!A1" display="Schemat A"/>
    <hyperlink ref="A7" location="'Schemat A′'!A1" display="Schemat A'"/>
    <hyperlink ref="A8" location="'Schemat C'!A1" display="Schemat C"/>
    <hyperlink ref="A9" location="'Schemat C′'!A1" display="Schemat C'"/>
    <hyperlink ref="A10" location="'Schemat K'!A1" display="Schemat K"/>
    <hyperlink ref="A11" location="'Schemat K′'!A1" display="Schemat K'"/>
    <hyperlink ref="D1" location="'Schemat A'!A1" display="Powrót "/>
    <hyperlink ref="B75" location="Szablony!A1" display="Zamówienie szablonów"/>
    <hyperlink ref="A6" location="'Schemat A RC2'!A1" display="'Schemat A RC2'!A1"/>
  </hyperlinks>
  <pageMargins left="0.70866141732283472" right="0.70866141732283472" top="0.74803149606299213" bottom="0.74803149606299213" header="0.31496062992125984" footer="0.31496062992125984"/>
  <pageSetup paperSize="9" scale="82" orientation="portrait" errors="blank" r:id="rId1"/>
  <headerFooter>
    <oddHeader>&amp;CDobór Roto Patio Inowa</oddHeader>
  </headerFooter>
  <ignoredErrors>
    <ignoredError sqref="A65:C6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List Box 1">
              <controlPr defaultSize="0" autoLine="0" autoPict="0">
                <anchor moveWithCells="1">
                  <from>
                    <xdr:col>0</xdr:col>
                    <xdr:colOff>9525</xdr:colOff>
                    <xdr:row>20</xdr:row>
                    <xdr:rowOff>19050</xdr:rowOff>
                  </from>
                  <to>
                    <xdr:col>1</xdr:col>
                    <xdr:colOff>266700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List Box 2">
              <controlPr defaultSize="0" autoLine="0" autoPict="0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1</xdr:col>
                    <xdr:colOff>1428750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List Box 3">
              <controlPr defaultSize="0" autoLine="0" autoPict="0">
                <anchor moveWithCells="1">
                  <from>
                    <xdr:col>2</xdr:col>
                    <xdr:colOff>0</xdr:colOff>
                    <xdr:row>20</xdr:row>
                    <xdr:rowOff>19050</xdr:rowOff>
                  </from>
                  <to>
                    <xdr:col>3</xdr:col>
                    <xdr:colOff>533400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List Box 4">
              <controlPr defaultSize="0" autoLine="0" autoPict="0">
                <anchor moveWithCells="1">
                  <from>
                    <xdr:col>1</xdr:col>
                    <xdr:colOff>3438525</xdr:colOff>
                    <xdr:row>4</xdr:row>
                    <xdr:rowOff>0</xdr:rowOff>
                  </from>
                  <to>
                    <xdr:col>2</xdr:col>
                    <xdr:colOff>847725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List Box 5">
              <controlPr defaultSize="0" autoLine="0" autoPict="0">
                <anchor moveWithCells="1">
                  <from>
                    <xdr:col>0</xdr:col>
                    <xdr:colOff>28575</xdr:colOff>
                    <xdr:row>26</xdr:row>
                    <xdr:rowOff>200025</xdr:rowOff>
                  </from>
                  <to>
                    <xdr:col>1</xdr:col>
                    <xdr:colOff>466725</xdr:colOff>
                    <xdr:row>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List Box 6">
              <controlPr defaultSize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533400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Drop Down 7">
              <controlPr defaultSize="0" autoLine="0" autoPict="0">
                <anchor moveWithCells="1">
                  <from>
                    <xdr:col>0</xdr:col>
                    <xdr:colOff>28575</xdr:colOff>
                    <xdr:row>33</xdr:row>
                    <xdr:rowOff>9525</xdr:rowOff>
                  </from>
                  <to>
                    <xdr:col>1</xdr:col>
                    <xdr:colOff>257175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List Box 8">
              <controlPr defaultSize="0" autoLine="0" autoPict="0">
                <anchor moveWithCells="1">
                  <from>
                    <xdr:col>3</xdr:col>
                    <xdr:colOff>333375</xdr:colOff>
                    <xdr:row>1</xdr:row>
                    <xdr:rowOff>57150</xdr:rowOff>
                  </from>
                  <to>
                    <xdr:col>3</xdr:col>
                    <xdr:colOff>866775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847725</xdr:colOff>
                    <xdr:row>35</xdr:row>
                    <xdr:rowOff>0</xdr:rowOff>
                  </from>
                  <to>
                    <xdr:col>1</xdr:col>
                    <xdr:colOff>2600325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 altText="Stosowanie szczotek wózka_x000a_">
                <anchor moveWithCells="1">
                  <from>
                    <xdr:col>1</xdr:col>
                    <xdr:colOff>847725</xdr:colOff>
                    <xdr:row>36</xdr:row>
                    <xdr:rowOff>9525</xdr:rowOff>
                  </from>
                  <to>
                    <xdr:col>1</xdr:col>
                    <xdr:colOff>2505075</xdr:colOff>
                    <xdr:row>37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>
    <pageSetUpPr fitToPage="1"/>
  </sheetPr>
  <dimension ref="A1:U441"/>
  <sheetViews>
    <sheetView zoomScale="80" zoomScaleNormal="80" workbookViewId="0">
      <selection activeCell="C13" sqref="C13"/>
    </sheetView>
  </sheetViews>
  <sheetFormatPr defaultRowHeight="15" x14ac:dyDescent="0.25"/>
  <cols>
    <col min="1" max="1" width="20.28515625" style="37" customWidth="1"/>
    <col min="2" max="2" width="52.5703125" style="37" customWidth="1"/>
    <col min="3" max="3" width="12.85546875" style="37" customWidth="1"/>
    <col min="4" max="4" width="15.5703125" style="37" bestFit="1" customWidth="1"/>
    <col min="5" max="5" width="9.85546875" style="37" bestFit="1" customWidth="1"/>
    <col min="6" max="6" width="12.7109375" style="37" bestFit="1" customWidth="1"/>
    <col min="7" max="7" width="9.140625" style="37"/>
    <col min="8" max="8" width="14.140625" style="37" bestFit="1" customWidth="1"/>
    <col min="9" max="9" width="9.140625" style="37"/>
    <col min="10" max="10" width="15.28515625" style="37" customWidth="1"/>
    <col min="11" max="12" width="9.140625" style="37"/>
    <col min="13" max="13" width="10" style="37" bestFit="1" customWidth="1"/>
    <col min="14" max="16384" width="9.140625" style="37"/>
  </cols>
  <sheetData>
    <row r="1" spans="1:21" x14ac:dyDescent="0.25">
      <c r="A1" s="35"/>
      <c r="B1" s="35"/>
      <c r="C1" s="35"/>
      <c r="D1" s="36" t="str">
        <f>SAP!A32</f>
        <v xml:space="preserve">Powrót 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31.5" x14ac:dyDescent="0.5">
      <c r="A2" s="38" t="str">
        <f>SAP!A14</f>
        <v>Roto Patio Inowa Schemat C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25">
      <c r="A3" s="35" t="str">
        <f>SAP!A16</f>
        <v>(dobór przygotowany wg instrukcji IMO_403_DE_v7)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5.75" x14ac:dyDescent="0.25">
      <c r="A4" s="39" t="str">
        <f>SAP!A17</f>
        <v xml:space="preserve">Wybór schematu:                                      </v>
      </c>
      <c r="B4" s="40"/>
      <c r="C4" s="41" t="str">
        <f>SAP!A31</f>
        <v xml:space="preserve">  Profil: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25">
      <c r="A5" s="42" t="str">
        <f>SAP!A18</f>
        <v>Schemat A</v>
      </c>
      <c r="B5" s="43" t="str">
        <f>SAP!A25</f>
        <v>TYLKO PVC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25">
      <c r="A6" s="42" t="str">
        <f>SAP!A19</f>
        <v>Schemat A RC2</v>
      </c>
      <c r="B6" s="43" t="str">
        <f>SAP!A25</f>
        <v>TYLKO PVC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122" t="str">
        <f>SAP!A20</f>
        <v>Schemat A' w opracowaniu</v>
      </c>
      <c r="B7" s="43" t="str">
        <f>SAP!A26</f>
        <v>TYLKO DREWNO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25">
      <c r="A8" s="42" t="str">
        <f>SAP!A21</f>
        <v>Schemat C</v>
      </c>
      <c r="B8" s="43" t="str">
        <f>SAP!A27</f>
        <v>TYLKO PVC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122" t="str">
        <f>SAP!A22</f>
        <v>Schemat C' w opracowaniu</v>
      </c>
      <c r="B9" s="43" t="str">
        <f>SAP!A28</f>
        <v>TYLKO DREWNO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x14ac:dyDescent="0.25">
      <c r="A10" s="122" t="str">
        <f>SAP!A23</f>
        <v>Schemat K w opracowaniu</v>
      </c>
      <c r="B10" s="43" t="str">
        <f>SAP!A29</f>
        <v>TYLKO PVC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15.75" thickBot="1" x14ac:dyDescent="0.3">
      <c r="A11" s="122" t="str">
        <f>SAP!A24</f>
        <v>Schemat K' w opracowaniu</v>
      </c>
      <c r="B11" s="43" t="str">
        <f>SAP!A30</f>
        <v>TYLKO DREWNO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24.75" thickBot="1" x14ac:dyDescent="0.3">
      <c r="A12" s="44" t="str">
        <f>SAP!A33</f>
        <v>Wymiary:</v>
      </c>
      <c r="B12" s="45" t="str">
        <f>SAP!A34</f>
        <v>Ciężar skrzydła max 200 kg</v>
      </c>
      <c r="C12" s="100" t="str">
        <f>SAP!A35</f>
        <v>Uzupełniamy żółte pola ↓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9.5" thickBot="1" x14ac:dyDescent="0.35">
      <c r="A13" s="44" t="str">
        <f>SAP!A36</f>
        <v>Szerokość ościeżnicy FB:</v>
      </c>
      <c r="B13" s="35"/>
      <c r="C13" s="33">
        <v>6000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9.5" thickBot="1" x14ac:dyDescent="0.35">
      <c r="A14" s="44" t="str">
        <f>SAP!A37</f>
        <v>Wysokość ościeżnicy FH:</v>
      </c>
      <c r="C14" s="33">
        <v>2400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ht="18.75" x14ac:dyDescent="0.3">
      <c r="A15" s="35" t="str">
        <f>SAP!A38</f>
        <v>FFB szerokość skrzydła na wrębie (min: 710 mm; max: 1500 mm):</v>
      </c>
      <c r="B15" s="35"/>
      <c r="C15" s="46">
        <f>D106</f>
        <v>1425</v>
      </c>
      <c r="D15" s="47" t="str">
        <f>IF(C15&lt;710,SAP!A72,IF(C15&lt;=1500,"OK",IF(C15&gt;1500,SAP!A73)))</f>
        <v>OK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8.75" x14ac:dyDescent="0.3">
      <c r="A16" s="35" t="str">
        <f>SAP!A39</f>
        <v>FFH wysokość skrzydła na wrębie (min: 600 mm; max: 2500 mm):</v>
      </c>
      <c r="C16" s="48">
        <f>C106</f>
        <v>2237</v>
      </c>
      <c r="D16" s="47" t="str">
        <f>IF(C16&lt;=599,SAP!A74,IF(C16&lt;=2500,"OK",IF(C16&gt;2501,SAP!A75)))</f>
        <v>OK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5.75" x14ac:dyDescent="0.25">
      <c r="A17" s="35" t="str">
        <f>SAP!A41</f>
        <v>Proporcje: max 2:1</v>
      </c>
      <c r="B17" s="35"/>
      <c r="C17" s="49" t="str">
        <f>F106</f>
        <v>prawidłowe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5" customHeight="1" thickBot="1" x14ac:dyDescent="0.3">
      <c r="B18" s="50" t="str">
        <f>SAP!A42</f>
        <v>Ilość: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8.75" customHeight="1" thickBot="1" x14ac:dyDescent="0.35">
      <c r="A19" s="133" t="str">
        <f>SAP!A49</f>
        <v>Rodzaj zasuwnicy w skrzydle czynnym (z wkładką bębenkową FFH&gt;1801):</v>
      </c>
      <c r="B19" s="133"/>
      <c r="C19" s="33">
        <v>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ht="18.75" customHeight="1" x14ac:dyDescent="0.3">
      <c r="A20" s="133"/>
      <c r="B20" s="133"/>
      <c r="C20" s="60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ht="15.75" x14ac:dyDescent="0.25">
      <c r="A21" s="133"/>
      <c r="B21" s="133"/>
      <c r="C21" s="41" t="str">
        <f>SAP!A47</f>
        <v xml:space="preserve">  Kolor osłonek: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ht="15.75" customHeight="1" x14ac:dyDescent="0.25">
      <c r="B24" s="62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ht="15.75" customHeight="1" x14ac:dyDescent="0.25">
      <c r="A25" s="121" t="str">
        <f>SAP!A46</f>
        <v>Kierunek otwierania skrzydła czynnego:</v>
      </c>
      <c r="C25" s="119" t="str">
        <f>SAP!A129</f>
        <v>Osłonka zaczepu antywyważeniowego: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ht="15.75" customHeight="1" x14ac:dyDescent="0.25">
      <c r="A26" s="61"/>
      <c r="B26" s="62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5.75" customHeight="1" x14ac:dyDescent="0.25">
      <c r="A27" s="61"/>
      <c r="B27" s="62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ht="15.75" customHeight="1" x14ac:dyDescent="0.25">
      <c r="A28" s="61"/>
      <c r="B28" s="62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ht="15.75" customHeight="1" x14ac:dyDescent="0.25">
      <c r="A29" s="61"/>
      <c r="B29" s="62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ht="15.75" x14ac:dyDescent="0.25">
      <c r="A30" s="63" t="str">
        <f>SAP!A76</f>
        <v>Klamka skrzydło czynne:</v>
      </c>
      <c r="C30" s="50" t="str">
        <f>SAP!A77</f>
        <v>Klamka skrzydło bierne: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ht="15.75" x14ac:dyDescent="0.25">
      <c r="A31" s="35"/>
      <c r="B31" s="64" t="str">
        <f>SAP!A51</f>
        <v>Kolor klamki:</v>
      </c>
      <c r="C31" s="40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x14ac:dyDescent="0.25">
      <c r="A32" s="35"/>
      <c r="B32" s="35"/>
      <c r="C32" s="40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x14ac:dyDescent="0.25">
      <c r="A33" s="35"/>
      <c r="B33" s="35"/>
      <c r="C33" s="40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x14ac:dyDescent="0.25">
      <c r="A34" s="35"/>
      <c r="B34" s="35"/>
      <c r="C34" s="40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ht="15.75" x14ac:dyDescent="0.25">
      <c r="A35" s="44" t="str">
        <f>SAP!A57</f>
        <v>Pochwyt od zewnątrz:</v>
      </c>
      <c r="B35" s="35"/>
      <c r="C35" s="50" t="str">
        <f>SAP!A57</f>
        <v>Pochwyt od zewnątrz: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x14ac:dyDescent="0.25">
      <c r="A36" s="35"/>
      <c r="B36" s="35"/>
      <c r="C36" s="40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x14ac:dyDescent="0.25">
      <c r="A37" s="35"/>
      <c r="B37" s="35"/>
      <c r="C37" s="40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x14ac:dyDescent="0.25">
      <c r="A38" s="35"/>
      <c r="B38" s="35"/>
      <c r="C38" s="4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ht="18" customHeight="1" x14ac:dyDescent="0.25">
      <c r="A39" s="68" t="str">
        <f>SAP!A14</f>
        <v>Roto Patio Inowa Schemat C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ht="15.75" x14ac:dyDescent="0.25">
      <c r="A40" s="72" t="str">
        <f>SAP!A126</f>
        <v>Montaż okuć:</v>
      </c>
      <c r="B40" s="72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ht="15.75" x14ac:dyDescent="0.25">
      <c r="A41" s="72"/>
      <c r="B41" s="72"/>
      <c r="C41" s="69" t="s">
        <v>290</v>
      </c>
      <c r="D41" s="73">
        <f>D106</f>
        <v>1425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ht="15.75" x14ac:dyDescent="0.25">
      <c r="A42" s="72" t="str">
        <f>SAP!B131</f>
        <v>Dodatki:</v>
      </c>
      <c r="B42" s="72"/>
      <c r="C42" s="69" t="s">
        <v>289</v>
      </c>
      <c r="D42" s="73">
        <f>C106</f>
        <v>2237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ht="18.75" x14ac:dyDescent="0.3">
      <c r="A43" s="52" t="s">
        <v>31</v>
      </c>
      <c r="B43" s="52" t="str">
        <f>SAP!A66</f>
        <v>Artykuł</v>
      </c>
      <c r="C43" s="52" t="str">
        <f>SAP!A67</f>
        <v>Ilość szt .</v>
      </c>
      <c r="D43" s="52" t="str">
        <f>SAP!A68</f>
        <v>Na zlecenie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</row>
    <row r="44" spans="1:21" x14ac:dyDescent="0.25">
      <c r="A44" s="53">
        <f t="shared" ref="A44:A52" si="0">A108</f>
        <v>798032</v>
      </c>
      <c r="B44" s="54" t="str">
        <f t="shared" ref="B44:B73" si="1">B108</f>
        <v>Zasuwn. KSR 1890/1000 2V D35 PIN</v>
      </c>
      <c r="C44" s="53">
        <f t="shared" ref="C44:C52" si="2">E108</f>
        <v>1</v>
      </c>
      <c r="D44" s="53">
        <f t="shared" ref="D44:D84" si="3">C44*$E$105</f>
        <v>1</v>
      </c>
      <c r="E44" s="35" t="str">
        <f>SAP!A114</f>
        <v>zasuwnica skrzydła czynnego</v>
      </c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</row>
    <row r="45" spans="1:21" x14ac:dyDescent="0.25">
      <c r="A45" s="53">
        <f t="shared" si="0"/>
        <v>809669</v>
      </c>
      <c r="B45" s="54" t="str">
        <f t="shared" si="1"/>
        <v>Zasuwn. KSR 1890/1000 D35 bez zacz. PIN</v>
      </c>
      <c r="C45" s="53">
        <f t="shared" si="2"/>
        <v>1</v>
      </c>
      <c r="D45" s="53">
        <f t="shared" si="3"/>
        <v>1</v>
      </c>
      <c r="E45" s="35" t="str">
        <f>SAP!A115</f>
        <v>zasuwnica skrzydła biernego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1" x14ac:dyDescent="0.25">
      <c r="A46" s="53">
        <f t="shared" si="0"/>
        <v>297858</v>
      </c>
      <c r="B46" s="53" t="str">
        <f t="shared" si="1"/>
        <v>Przedłużka zasuwn. NT MV400 bez zaczepu</v>
      </c>
      <c r="C46" s="53">
        <f t="shared" si="2"/>
        <v>2</v>
      </c>
      <c r="D46" s="53">
        <f t="shared" si="3"/>
        <v>2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1" ht="15.75" x14ac:dyDescent="0.25">
      <c r="A47" s="53">
        <f t="shared" si="0"/>
        <v>603447</v>
      </c>
      <c r="B47" s="53" t="str">
        <f t="shared" si="1"/>
        <v>Zamk. środkowe góra 1001-1200 NT ALV</v>
      </c>
      <c r="C47" s="53">
        <f t="shared" si="2"/>
        <v>4</v>
      </c>
      <c r="D47" s="53">
        <f t="shared" si="3"/>
        <v>4</v>
      </c>
      <c r="E47" s="120" t="str">
        <f>F111</f>
        <v xml:space="preserve"> 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  <row r="48" spans="1:21" x14ac:dyDescent="0.25">
      <c r="A48" s="53">
        <f t="shared" si="0"/>
        <v>255282</v>
      </c>
      <c r="B48" s="53" t="str">
        <f t="shared" si="1"/>
        <v>Zamkn. środkowe 1E NT MV600 łączone</v>
      </c>
      <c r="C48" s="53">
        <f t="shared" si="2"/>
        <v>2</v>
      </c>
      <c r="D48" s="53">
        <f t="shared" si="3"/>
        <v>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 spans="1:20" x14ac:dyDescent="0.25">
      <c r="A49" s="53">
        <f t="shared" si="0"/>
        <v>297858</v>
      </c>
      <c r="B49" s="53" t="str">
        <f t="shared" si="1"/>
        <v>Przedłużka zasuwn. NT MV400 bez zaczepu</v>
      </c>
      <c r="C49" s="53">
        <f t="shared" si="2"/>
        <v>2</v>
      </c>
      <c r="D49" s="53">
        <f t="shared" si="3"/>
        <v>2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  <row r="50" spans="1:20" x14ac:dyDescent="0.25">
      <c r="A50" s="53">
        <f t="shared" si="0"/>
        <v>450821</v>
      </c>
      <c r="B50" s="53" t="str">
        <f t="shared" si="1"/>
        <v>Zamkn. środ. 200/E łącz NT</v>
      </c>
      <c r="C50" s="53">
        <f t="shared" si="2"/>
        <v>2</v>
      </c>
      <c r="D50" s="53">
        <f t="shared" si="3"/>
        <v>2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 spans="1:20" x14ac:dyDescent="0.25">
      <c r="A51" s="53">
        <f t="shared" si="0"/>
        <v>260272</v>
      </c>
      <c r="B51" s="53" t="str">
        <f t="shared" si="1"/>
        <v>Narożnik Ku/r NT/1V</v>
      </c>
      <c r="C51" s="53">
        <f t="shared" si="2"/>
        <v>4</v>
      </c>
      <c r="D51" s="53">
        <f t="shared" si="3"/>
        <v>4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 spans="1:20" x14ac:dyDescent="0.25">
      <c r="A52" s="53">
        <f t="shared" si="0"/>
        <v>260275</v>
      </c>
      <c r="B52" s="53" t="str">
        <f t="shared" si="1"/>
        <v>Narożnik NT/1E</v>
      </c>
      <c r="C52" s="53">
        <f t="shared" si="2"/>
        <v>4</v>
      </c>
      <c r="D52" s="53">
        <f t="shared" si="3"/>
        <v>4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 spans="1:20" x14ac:dyDescent="0.25">
      <c r="A53" s="53">
        <f t="shared" ref="A53" si="4">A117</f>
        <v>762909</v>
      </c>
      <c r="B53" s="53" t="str">
        <f t="shared" si="1"/>
        <v>Wózek 8 41 L PIN</v>
      </c>
      <c r="C53" s="53">
        <f t="shared" ref="C53" si="5">E117</f>
        <v>3</v>
      </c>
      <c r="D53" s="53">
        <f t="shared" si="3"/>
        <v>3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</row>
    <row r="54" spans="1:20" x14ac:dyDescent="0.25">
      <c r="A54" s="53">
        <f t="shared" ref="A54:A62" si="6">A118</f>
        <v>762910</v>
      </c>
      <c r="B54" s="53" t="str">
        <f t="shared" si="1"/>
        <v>Wózek 8 41 R PIN</v>
      </c>
      <c r="C54" s="53">
        <f t="shared" ref="C54:C62" si="7">E118</f>
        <v>3</v>
      </c>
      <c r="D54" s="53">
        <f t="shared" si="3"/>
        <v>3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</row>
    <row r="55" spans="1:20" x14ac:dyDescent="0.25">
      <c r="A55" s="53">
        <f t="shared" si="6"/>
        <v>762911</v>
      </c>
      <c r="B55" s="53" t="str">
        <f t="shared" si="1"/>
        <v>Jednostka ster. 8 41 L PIN</v>
      </c>
      <c r="C55" s="53">
        <f t="shared" si="7"/>
        <v>3</v>
      </c>
      <c r="D55" s="53">
        <f t="shared" si="3"/>
        <v>3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  <row r="56" spans="1:20" x14ac:dyDescent="0.25">
      <c r="A56" s="53">
        <f t="shared" si="6"/>
        <v>762912</v>
      </c>
      <c r="B56" s="53" t="str">
        <f t="shared" si="1"/>
        <v>Jednostka ster. 8 41 R PIN</v>
      </c>
      <c r="C56" s="53">
        <f t="shared" si="7"/>
        <v>3</v>
      </c>
      <c r="D56" s="53">
        <f t="shared" si="3"/>
        <v>3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x14ac:dyDescent="0.25">
      <c r="A57" s="53">
        <f t="shared" si="6"/>
        <v>762913</v>
      </c>
      <c r="B57" s="53" t="str">
        <f t="shared" si="1"/>
        <v>Docisk środkowy 8 41 L PIN</v>
      </c>
      <c r="C57" s="53">
        <f t="shared" si="7"/>
        <v>3</v>
      </c>
      <c r="D57" s="53">
        <f t="shared" si="3"/>
        <v>3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x14ac:dyDescent="0.25">
      <c r="A58" s="53">
        <f t="shared" si="6"/>
        <v>762914</v>
      </c>
      <c r="B58" s="53" t="str">
        <f t="shared" si="1"/>
        <v>Docisk środkowy 8 41 R PIN</v>
      </c>
      <c r="C58" s="53">
        <f t="shared" si="7"/>
        <v>3</v>
      </c>
      <c r="D58" s="53">
        <f t="shared" si="3"/>
        <v>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x14ac:dyDescent="0.25">
      <c r="A59" s="53">
        <f t="shared" si="6"/>
        <v>764350</v>
      </c>
      <c r="B59" s="53" t="str">
        <f t="shared" si="1"/>
        <v>Zamkn. środkowe 1E NTN MV130 łączone</v>
      </c>
      <c r="C59" s="53">
        <f t="shared" si="7"/>
        <v>8</v>
      </c>
      <c r="D59" s="53">
        <f t="shared" si="3"/>
        <v>8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x14ac:dyDescent="0.25">
      <c r="A60" s="53">
        <f t="shared" si="6"/>
        <v>809612</v>
      </c>
      <c r="B60" s="53" t="str">
        <f t="shared" si="1"/>
        <v>Trzpień docisku środkowego 32.8 PIN Aluplast</v>
      </c>
      <c r="C60" s="53">
        <f t="shared" si="7"/>
        <v>6</v>
      </c>
      <c r="D60" s="53">
        <f t="shared" si="3"/>
        <v>6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x14ac:dyDescent="0.25">
      <c r="A61" s="53">
        <f t="shared" si="6"/>
        <v>793493</v>
      </c>
      <c r="B61" s="53" t="str">
        <f t="shared" si="1"/>
        <v>Zaczep docisku MV-SEB</v>
      </c>
      <c r="C61" s="53">
        <f t="shared" si="7"/>
        <v>6</v>
      </c>
      <c r="D61" s="53">
        <f t="shared" si="3"/>
        <v>6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</row>
    <row r="62" spans="1:20" x14ac:dyDescent="0.25">
      <c r="A62" s="53">
        <f t="shared" si="6"/>
        <v>788175</v>
      </c>
      <c r="B62" s="53" t="str">
        <f t="shared" si="1"/>
        <v>Zaczep blok.bł.obsługi drewno/PVC12.2PIN</v>
      </c>
      <c r="C62" s="53">
        <f t="shared" si="7"/>
        <v>1</v>
      </c>
      <c r="D62" s="53">
        <f t="shared" si="3"/>
        <v>1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</row>
    <row r="63" spans="1:20" x14ac:dyDescent="0.25">
      <c r="A63" s="53">
        <f>A127</f>
        <v>744579</v>
      </c>
      <c r="B63" s="53" t="str">
        <f t="shared" si="1"/>
        <v>Zaczep p-wyw PVC 12.2 PIN</v>
      </c>
      <c r="C63" s="53">
        <f>E127</f>
        <v>3</v>
      </c>
      <c r="D63" s="53">
        <f t="shared" si="3"/>
        <v>3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</row>
    <row r="64" spans="1:20" x14ac:dyDescent="0.25">
      <c r="A64" s="53">
        <f t="shared" ref="A64:A66" si="8">A128</f>
        <v>635307</v>
      </c>
      <c r="B64" s="53" t="str">
        <f t="shared" si="1"/>
        <v>Zderzak 14 PIN</v>
      </c>
      <c r="C64" s="53">
        <f>E128</f>
        <v>2</v>
      </c>
      <c r="D64" s="53">
        <f t="shared" si="3"/>
        <v>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</row>
    <row r="65" spans="1:20" x14ac:dyDescent="0.25">
      <c r="A65" s="53">
        <f t="shared" si="8"/>
        <v>800196</v>
      </c>
      <c r="B65" s="53" t="str">
        <f t="shared" si="1"/>
        <v>Stoper do prowadnicy górnej PIN</v>
      </c>
      <c r="C65" s="53">
        <f>E129</f>
        <v>3</v>
      </c>
      <c r="D65" s="53">
        <f t="shared" si="3"/>
        <v>3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</row>
    <row r="66" spans="1:20" x14ac:dyDescent="0.25">
      <c r="A66" s="53">
        <f t="shared" si="8"/>
        <v>800197</v>
      </c>
      <c r="B66" s="53" t="str">
        <f t="shared" si="1"/>
        <v>El. dyst. stopera prowadnicy górnej PIN</v>
      </c>
      <c r="C66" s="53">
        <f>E130</f>
        <v>3</v>
      </c>
      <c r="D66" s="53">
        <f t="shared" si="3"/>
        <v>3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</row>
    <row r="67" spans="1:20" x14ac:dyDescent="0.25">
      <c r="A67" s="53">
        <f t="shared" ref="A67" si="9">A131</f>
        <v>819632</v>
      </c>
      <c r="B67" s="53" t="str">
        <f t="shared" si="1"/>
        <v>Osłona MB R01.1 PIN</v>
      </c>
      <c r="C67" s="53">
        <f t="shared" ref="C67" si="10">E131</f>
        <v>6</v>
      </c>
      <c r="D67" s="53">
        <f t="shared" si="3"/>
        <v>6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</row>
    <row r="68" spans="1:20" ht="14.25" customHeight="1" x14ac:dyDescent="0.3">
      <c r="A68" s="53">
        <f t="shared" ref="A68:A72" si="11">A132</f>
        <v>817052</v>
      </c>
      <c r="B68" s="53" t="str">
        <f t="shared" si="1"/>
        <v>Kpl. elem. antywyważ. schemat C  PVC PIN</v>
      </c>
      <c r="C68" s="53">
        <f>E132</f>
        <v>1</v>
      </c>
      <c r="D68" s="53">
        <f t="shared" si="3"/>
        <v>1</v>
      </c>
      <c r="E68" s="47" t="str">
        <f>G132</f>
        <v/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</row>
    <row r="69" spans="1:20" x14ac:dyDescent="0.25">
      <c r="A69" s="53">
        <f t="shared" si="11"/>
        <v>822393</v>
      </c>
      <c r="B69" s="53" t="str">
        <f t="shared" si="1"/>
        <v>Trzpień p-wyw docisku środk. 34X8 PIN</v>
      </c>
      <c r="C69" s="53">
        <f>E133</f>
        <v>1</v>
      </c>
      <c r="D69" s="53">
        <f t="shared" si="3"/>
        <v>1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</row>
    <row r="70" spans="1:20" x14ac:dyDescent="0.25">
      <c r="A70" s="53">
        <f t="shared" si="11"/>
        <v>762913</v>
      </c>
      <c r="B70" s="53" t="str">
        <f t="shared" si="1"/>
        <v>Docisk środkowy 8 41 L PIN</v>
      </c>
      <c r="C70" s="53">
        <f>E134</f>
        <v>1</v>
      </c>
      <c r="D70" s="53">
        <f t="shared" si="3"/>
        <v>1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</row>
    <row r="71" spans="1:20" x14ac:dyDescent="0.25">
      <c r="A71" s="53">
        <f t="shared" si="11"/>
        <v>810279</v>
      </c>
      <c r="B71" s="53" t="str">
        <f t="shared" si="1"/>
        <v>Zaczep do docisku p-wyw.  MB KPL PIN</v>
      </c>
      <c r="C71" s="53">
        <f>C135</f>
        <v>1</v>
      </c>
      <c r="D71" s="53">
        <f t="shared" si="3"/>
        <v>1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</row>
    <row r="72" spans="1:20" x14ac:dyDescent="0.25">
      <c r="A72" s="53">
        <f t="shared" si="11"/>
        <v>828482</v>
      </c>
      <c r="B72" s="53" t="str">
        <f t="shared" si="1"/>
        <v>Osłona zacz. antywyw. MB R01.1 PIN</v>
      </c>
      <c r="C72" s="53">
        <f>C136</f>
        <v>1</v>
      </c>
      <c r="D72" s="53">
        <f t="shared" si="3"/>
        <v>1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</row>
    <row r="73" spans="1:20" x14ac:dyDescent="0.25">
      <c r="A73" s="53">
        <f>A137</f>
        <v>450821</v>
      </c>
      <c r="B73" s="53" t="str">
        <f t="shared" si="1"/>
        <v>Zamkn. środ. 200/E łącz NT</v>
      </c>
      <c r="C73" s="53">
        <f>C137</f>
        <v>1</v>
      </c>
      <c r="D73" s="53">
        <f t="shared" si="3"/>
        <v>1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</row>
    <row r="74" spans="1:20" ht="15.75" x14ac:dyDescent="0.25">
      <c r="A74" s="53">
        <f>A138</f>
        <v>780551</v>
      </c>
      <c r="B74" s="53" t="str">
        <f>B138</f>
        <v>Klamka R-line 43mm 200 R01.1 ALV</v>
      </c>
      <c r="C74" s="53">
        <f>E138</f>
        <v>1</v>
      </c>
      <c r="D74" s="53">
        <f t="shared" si="3"/>
        <v>1</v>
      </c>
      <c r="E74" s="68" t="str">
        <f>H138</f>
        <v xml:space="preserve"> 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</row>
    <row r="75" spans="1:20" x14ac:dyDescent="0.25">
      <c r="A75" s="53">
        <f t="shared" ref="A75:A77" si="12">A139</f>
        <v>780551</v>
      </c>
      <c r="B75" s="53" t="str">
        <f>B139</f>
        <v>Klamka R-line 43mm 200 R01.1 ALV</v>
      </c>
      <c r="C75" s="53">
        <f>E139</f>
        <v>1</v>
      </c>
      <c r="D75" s="53">
        <f t="shared" si="3"/>
        <v>1</v>
      </c>
      <c r="E75" s="35" t="str">
        <f>SAP!A116</f>
        <v>klamka skrzydło bierne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</row>
    <row r="76" spans="1:20" x14ac:dyDescent="0.25">
      <c r="A76" s="55">
        <f t="shared" si="12"/>
        <v>820028</v>
      </c>
      <c r="B76" s="53" t="str">
        <f>B140</f>
        <v>Pochwyt zlicowany 43mm R01.1 PIN</v>
      </c>
      <c r="C76" s="53">
        <f>E140</f>
        <v>1</v>
      </c>
      <c r="D76" s="53">
        <f t="shared" si="3"/>
        <v>1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</row>
    <row r="77" spans="1:20" x14ac:dyDescent="0.25">
      <c r="A77" s="65">
        <f t="shared" si="12"/>
        <v>0</v>
      </c>
      <c r="B77" s="53" t="str">
        <f>B141</f>
        <v>__</v>
      </c>
      <c r="C77" s="53">
        <f>E141</f>
        <v>0</v>
      </c>
      <c r="D77" s="53">
        <f t="shared" si="3"/>
        <v>0</v>
      </c>
      <c r="E77" s="35" t="str">
        <f>SAP!A118</f>
        <v>pochwyt skrzydło bierne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</row>
    <row r="78" spans="1:20" x14ac:dyDescent="0.25">
      <c r="A78" s="65">
        <f>IF(G146&lt;&gt;0,A142,IF(G146=0,0))</f>
        <v>817180</v>
      </c>
      <c r="B78" s="18" t="str">
        <f>B143</f>
        <v>Zestaw śrub M5X70 (2szt.)</v>
      </c>
      <c r="C78" s="53">
        <f>E142</f>
        <v>1</v>
      </c>
      <c r="D78" s="53">
        <f t="shared" si="3"/>
        <v>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</row>
    <row r="79" spans="1:20" x14ac:dyDescent="0.25">
      <c r="A79" s="65">
        <f>A145</f>
        <v>0</v>
      </c>
      <c r="B79" s="65" t="str">
        <f>B145</f>
        <v>__</v>
      </c>
      <c r="C79" s="53">
        <f>E145</f>
        <v>0</v>
      </c>
      <c r="D79" s="112">
        <f t="shared" si="3"/>
        <v>0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</row>
    <row r="80" spans="1:20" x14ac:dyDescent="0.25">
      <c r="A80" s="65">
        <f>A144</f>
        <v>0</v>
      </c>
      <c r="B80" s="65" t="str">
        <f>B144</f>
        <v>__</v>
      </c>
      <c r="C80" s="87">
        <f>C144</f>
        <v>0</v>
      </c>
      <c r="D80" s="112">
        <f t="shared" si="3"/>
        <v>0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</row>
    <row r="81" spans="1:20" hidden="1" x14ac:dyDescent="0.25">
      <c r="A81" s="55">
        <f t="shared" ref="A81" si="13">A146</f>
        <v>0</v>
      </c>
      <c r="B81" s="53" t="str">
        <f>B146</f>
        <v>__</v>
      </c>
      <c r="C81" s="53">
        <f>E147</f>
        <v>0</v>
      </c>
      <c r="D81" s="53">
        <f t="shared" si="3"/>
        <v>0</v>
      </c>
    </row>
    <row r="82" spans="1:20" hidden="1" x14ac:dyDescent="0.25">
      <c r="A82" s="53">
        <f t="shared" ref="A82:A84" si="14">A147</f>
        <v>0</v>
      </c>
      <c r="B82" s="53" t="str">
        <f>B147</f>
        <v>__</v>
      </c>
      <c r="C82" s="53">
        <f>E148</f>
        <v>0</v>
      </c>
      <c r="D82" s="53">
        <f t="shared" si="3"/>
        <v>0</v>
      </c>
    </row>
    <row r="83" spans="1:20" hidden="1" x14ac:dyDescent="0.25">
      <c r="A83" s="53">
        <f t="shared" si="14"/>
        <v>0</v>
      </c>
      <c r="B83" s="53" t="str">
        <f>B148</f>
        <v>__</v>
      </c>
      <c r="C83" s="53">
        <f>E149</f>
        <v>0</v>
      </c>
      <c r="D83" s="56">
        <f t="shared" si="3"/>
        <v>0</v>
      </c>
      <c r="E83" s="57" t="s">
        <v>93</v>
      </c>
    </row>
    <row r="84" spans="1:20" hidden="1" x14ac:dyDescent="0.25">
      <c r="A84" s="53">
        <f t="shared" si="14"/>
        <v>0</v>
      </c>
      <c r="B84" s="53" t="str">
        <f>B149</f>
        <v>__</v>
      </c>
      <c r="C84" s="53">
        <f>E149</f>
        <v>0</v>
      </c>
      <c r="D84" s="58">
        <f t="shared" si="3"/>
        <v>0</v>
      </c>
      <c r="E84" s="57" t="s">
        <v>92</v>
      </c>
    </row>
    <row r="85" spans="1:20" x14ac:dyDescent="0.25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</row>
    <row r="86" spans="1:20" x14ac:dyDescent="0.25">
      <c r="B86" s="71" t="str">
        <f>SAP!A69</f>
        <v>Zamówienie szablonów i dokumentacji</v>
      </c>
      <c r="C86" s="59"/>
    </row>
    <row r="87" spans="1:20" x14ac:dyDescent="0.25">
      <c r="B87" s="53" t="str">
        <f>SAP!A70</f>
        <v>Certyfikat</v>
      </c>
    </row>
    <row r="88" spans="1:20" s="6" customFormat="1" hidden="1" x14ac:dyDescent="0.25">
      <c r="A88" s="5"/>
      <c r="B88" s="5"/>
      <c r="C88" s="5"/>
      <c r="D88" s="5"/>
      <c r="E88" s="5"/>
    </row>
    <row r="89" spans="1:20" s="6" customFormat="1" hidden="1" x14ac:dyDescent="0.25"/>
    <row r="90" spans="1:20" s="6" customFormat="1" hidden="1" x14ac:dyDescent="0.25">
      <c r="J90" s="6" t="s">
        <v>234</v>
      </c>
    </row>
    <row r="91" spans="1:20" s="6" customFormat="1" hidden="1" x14ac:dyDescent="0.25">
      <c r="B91" s="6" t="s">
        <v>60</v>
      </c>
      <c r="C91" s="6" t="s">
        <v>47</v>
      </c>
      <c r="D91" s="6" t="str">
        <f>SAP!A80</f>
        <v>Klamka 200mm</v>
      </c>
      <c r="F91" s="6" t="str">
        <f>SAP!A89</f>
        <v>R01.1 Naturalny srebrny</v>
      </c>
      <c r="H91" s="6" t="str">
        <f>SAP!A101</f>
        <v>brak</v>
      </c>
      <c r="J91" s="6" t="str">
        <f>SAP!A80</f>
        <v>Klamka 200mm</v>
      </c>
      <c r="N91" s="6" t="str">
        <f>SAP!A101</f>
        <v>brak</v>
      </c>
    </row>
    <row r="92" spans="1:20" s="6" customFormat="1" hidden="1" x14ac:dyDescent="0.25">
      <c r="B92" s="6" t="s">
        <v>61</v>
      </c>
      <c r="C92" s="6" t="str">
        <f>SAP!A9</f>
        <v>Drewno</v>
      </c>
      <c r="D92" s="6" t="str">
        <f>SAP!A81</f>
        <v>Klamka 200mm z przyciskiem</v>
      </c>
      <c r="F92" s="6" t="str">
        <f>SAP!A90</f>
        <v>R01.2 Nowy srebrny</v>
      </c>
      <c r="H92" s="6" t="str">
        <f>SAP!A102</f>
        <v>R01.1 Naturalny srebrny</v>
      </c>
      <c r="J92" s="6" t="str">
        <f>SAP!A81</f>
        <v>Klamka 200mm z przyciskiem</v>
      </c>
      <c r="N92" s="6" t="str">
        <f>SAP!A102</f>
        <v>R01.1 Naturalny srebrny</v>
      </c>
    </row>
    <row r="93" spans="1:20" s="6" customFormat="1" hidden="1" x14ac:dyDescent="0.25">
      <c r="B93" s="6" t="s">
        <v>62</v>
      </c>
      <c r="C93" s="6" t="s">
        <v>68</v>
      </c>
      <c r="D93" s="6" t="str">
        <f>SAP!A82</f>
        <v>Klamka 200mm 100Nm</v>
      </c>
      <c r="F93" s="6" t="str">
        <f>SAP!A91</f>
        <v>R01.3 Tytan</v>
      </c>
      <c r="H93" s="6" t="str">
        <f>SAP!A103</f>
        <v>R01.3 Tytan</v>
      </c>
      <c r="J93" s="6" t="str">
        <f>SAP!A82</f>
        <v>Klamka 200mm 100Nm</v>
      </c>
      <c r="N93" s="6" t="str">
        <f>SAP!A103</f>
        <v>R01.3 Tytan</v>
      </c>
    </row>
    <row r="94" spans="1:20" s="6" customFormat="1" hidden="1" x14ac:dyDescent="0.25">
      <c r="B94" s="6" t="s">
        <v>63</v>
      </c>
      <c r="D94" s="6" t="str">
        <f>SAP!A83</f>
        <v>Klamka 200mm obustronna</v>
      </c>
      <c r="F94" s="6" t="str">
        <f>SAP!A92</f>
        <v>R01.5 Srebrny</v>
      </c>
      <c r="H94" s="6" t="str">
        <f>SAP!A104</f>
        <v>R05.3 Średni brąz</v>
      </c>
      <c r="J94" s="6" t="str">
        <f>SAP!A83</f>
        <v>Klamka 200mm obustronna</v>
      </c>
      <c r="N94" s="6" t="str">
        <f>SAP!A104</f>
        <v>R05.3 Średni brąz</v>
      </c>
    </row>
    <row r="95" spans="1:20" s="6" customFormat="1" hidden="1" x14ac:dyDescent="0.25">
      <c r="B95" s="6" t="s">
        <v>64</v>
      </c>
      <c r="D95" s="7">
        <v>1</v>
      </c>
      <c r="F95" s="6" t="str">
        <f>SAP!A93</f>
        <v>R02.2 Antracyt</v>
      </c>
      <c r="H95" s="6" t="str">
        <f>SAP!A105</f>
        <v>R05.5 Brązowy</v>
      </c>
      <c r="J95" s="7">
        <v>1</v>
      </c>
      <c r="N95" s="6" t="str">
        <f>SAP!A105</f>
        <v>R05.5 Brązowy</v>
      </c>
    </row>
    <row r="96" spans="1:20" s="6" customFormat="1" hidden="1" x14ac:dyDescent="0.25">
      <c r="B96" s="6" t="s">
        <v>65</v>
      </c>
      <c r="D96" s="6" t="s">
        <v>192</v>
      </c>
      <c r="F96" s="6" t="str">
        <f>SAP!A94</f>
        <v>R05.3 Średni brąz</v>
      </c>
      <c r="H96" s="6" t="str">
        <f>SAP!A106</f>
        <v>R07.2 Biały</v>
      </c>
      <c r="J96" s="6" t="s">
        <v>192</v>
      </c>
      <c r="N96" s="6" t="str">
        <f>SAP!A106</f>
        <v>R07.2 Biały</v>
      </c>
    </row>
    <row r="97" spans="1:14" s="6" customFormat="1" hidden="1" x14ac:dyDescent="0.25">
      <c r="D97" s="6" t="s">
        <v>193</v>
      </c>
      <c r="F97" s="6" t="str">
        <f>SAP!A95</f>
        <v>R05.4 Ciemny brąz</v>
      </c>
      <c r="H97" s="6" t="str">
        <f>SAP!A107</f>
        <v>R06.2 Czarny (pochwyt IS)</v>
      </c>
      <c r="J97" s="6" t="s">
        <v>193</v>
      </c>
      <c r="N97" s="6" t="str">
        <f>SAP!A107</f>
        <v>R06.2 Czarny (pochwyt IS)</v>
      </c>
    </row>
    <row r="98" spans="1:14" s="6" customFormat="1" hidden="1" x14ac:dyDescent="0.25">
      <c r="D98" s="6" t="s">
        <v>194</v>
      </c>
      <c r="F98" s="6" t="str">
        <f>SAP!A96</f>
        <v>R05.5 Brązowy</v>
      </c>
      <c r="H98" s="7">
        <v>2</v>
      </c>
      <c r="J98" s="6" t="s">
        <v>194</v>
      </c>
      <c r="N98" s="7">
        <v>1</v>
      </c>
    </row>
    <row r="99" spans="1:14" s="6" customFormat="1" hidden="1" x14ac:dyDescent="0.25">
      <c r="D99" s="6" t="str">
        <f>SAP!A87</f>
        <v>100mm dwustronna</v>
      </c>
      <c r="F99" s="6" t="str">
        <f>SAP!A97</f>
        <v>R06.2M Czarny Mat</v>
      </c>
      <c r="J99" s="6" t="str">
        <f>SAP!A87</f>
        <v>100mm dwustronna</v>
      </c>
    </row>
    <row r="100" spans="1:14" s="6" customFormat="1" hidden="1" x14ac:dyDescent="0.25">
      <c r="D100" s="6" t="str">
        <f>SAP!A88</f>
        <v>135mm dwustronna</v>
      </c>
      <c r="F100" s="6" t="str">
        <f>SAP!A98</f>
        <v>R07.2 Biały</v>
      </c>
      <c r="J100" s="6" t="str">
        <f>SAP!A88</f>
        <v>135mm dwustronna</v>
      </c>
    </row>
    <row r="101" spans="1:14" s="6" customFormat="1" hidden="1" x14ac:dyDescent="0.25">
      <c r="D101" s="8">
        <v>2</v>
      </c>
      <c r="F101" s="6" t="str">
        <f>SAP!A99</f>
        <v>R07.3 Kremowy</v>
      </c>
      <c r="J101" s="8">
        <v>2</v>
      </c>
      <c r="L101" s="7"/>
    </row>
    <row r="102" spans="1:14" s="6" customFormat="1" hidden="1" x14ac:dyDescent="0.25">
      <c r="B102" s="6" t="s">
        <v>66</v>
      </c>
      <c r="D102" s="102">
        <f>IF(D95=4,4,IF(B103=1,3,IF(B103=3,3)))</f>
        <v>3</v>
      </c>
      <c r="F102" s="7">
        <v>1</v>
      </c>
      <c r="H102" s="6" t="s">
        <v>330</v>
      </c>
      <c r="J102" s="102">
        <f>IF(J95=3,4,IF(B103=1,3,IF(B103=3,3)))</f>
        <v>3</v>
      </c>
    </row>
    <row r="103" spans="1:14" s="6" customFormat="1" hidden="1" x14ac:dyDescent="0.25">
      <c r="B103" s="9">
        <v>1</v>
      </c>
      <c r="C103" s="6" t="s">
        <v>3</v>
      </c>
      <c r="D103" s="6" t="s">
        <v>0</v>
      </c>
      <c r="H103" s="6" t="str">
        <f>IF(B103=1,SAP!A53,IF(B103=2,"",IF(B103=3,SAP!A55)))</f>
        <v>Aluplast -&gt; klamka z trzpieniem 37mm</v>
      </c>
    </row>
    <row r="104" spans="1:14" s="6" customFormat="1" ht="23.25" hidden="1" x14ac:dyDescent="0.35">
      <c r="C104" s="10">
        <f>IF(B103=1,C14-163,IF(B103=3,C14-177,IF(B103=2,C14-134)))</f>
        <v>2237</v>
      </c>
      <c r="D104" s="10">
        <f>IF(B103=1,C13/4-75,IF(B103=3,C13/4-58,IF(B103=2,C13/4-54)))</f>
        <v>1425</v>
      </c>
      <c r="E104" s="6" t="s">
        <v>27</v>
      </c>
      <c r="F104" s="6" t="s">
        <v>75</v>
      </c>
      <c r="H104" s="6" t="str">
        <f>IF(B103=1,SAP!A56,IF(B103=2,"",IF(B103=3,SAP!A56)))</f>
        <v>Uwaga! W przypadku zastosowania klamki obustronnej wybierz trzpień i klamkę obustronną</v>
      </c>
    </row>
    <row r="105" spans="1:14" s="6" customFormat="1" hidden="1" x14ac:dyDescent="0.25">
      <c r="C105" s="6" t="s">
        <v>3</v>
      </c>
      <c r="D105" s="6" t="s">
        <v>0</v>
      </c>
      <c r="E105" s="11">
        <f>C19</f>
        <v>1</v>
      </c>
      <c r="H105" s="6" t="str">
        <f>IF(D95=1,H103,IF(D95=2,H103,IF(D95=3,H104)))</f>
        <v>Aluplast -&gt; klamka z trzpieniem 37mm</v>
      </c>
    </row>
    <row r="106" spans="1:14" s="6" customFormat="1" hidden="1" x14ac:dyDescent="0.25">
      <c r="C106" s="11">
        <f>C104</f>
        <v>2237</v>
      </c>
      <c r="D106" s="11">
        <f>D104</f>
        <v>1425</v>
      </c>
      <c r="F106" s="11" t="str">
        <f>IF(C106/D106&lt;=2,SAP!A43,IF(C106/D106&gt;2,SAP!A44))</f>
        <v>prawidłowe</v>
      </c>
    </row>
    <row r="107" spans="1:14" s="6" customFormat="1" hidden="1" x14ac:dyDescent="0.25"/>
    <row r="108" spans="1:14" s="6" customFormat="1" hidden="1" x14ac:dyDescent="0.25">
      <c r="A108" s="12">
        <f>IF(B103=1,C182,IF(B103=2,"!",IF(B103=3,C182)))</f>
        <v>798032</v>
      </c>
      <c r="B108" s="6" t="str">
        <f>IF(SAP!$A$7=1,VLOOKUP(A108,SAP!$1:$1048576,2,FALSE),IF(SAP!$A$7=2,VLOOKUP(A108,SAP!$1:$1048576,5,FALSE),IF(SAP!$A$7=3,VLOOKUP(A108,SAP!$1:$1048576,6,FALSE),IF(SAP!$A$7=4,VLOOKUP(A108,SAP!$1:$1048576,7,FALSE)))))</f>
        <v>Zasuwn. KSR 1890/1000 2V D35 PIN</v>
      </c>
      <c r="C108" s="6">
        <f>F163</f>
        <v>1</v>
      </c>
      <c r="E108" s="6">
        <f>IF(A108="!",0,IF(A108&lt;&gt;"!",C108))</f>
        <v>1</v>
      </c>
    </row>
    <row r="109" spans="1:14" s="6" customFormat="1" hidden="1" x14ac:dyDescent="0.25">
      <c r="A109" s="12">
        <f>IF(B103=1,G191,IF(B103=2,0,IF(B103=3,G201)))</f>
        <v>809669</v>
      </c>
      <c r="B109" s="6" t="str">
        <f>IF(SAP!$A$7=1,VLOOKUP(A109,SAP!$1:$1048576,2,FALSE),IF(SAP!$A$7=2,VLOOKUP(A109,SAP!$1:$1048576,5,FALSE),IF(SAP!$A$7=3,VLOOKUP(A109,SAP!$1:$1048576,6,FALSE),IF(SAP!$A$7=4,VLOOKUP(A109,SAP!$1:$1048576,7,FALSE)))))</f>
        <v>Zasuwn. KSR 1890/1000 D35 bez zacz. PIN</v>
      </c>
      <c r="C109" s="6">
        <v>1</v>
      </c>
      <c r="E109" s="6">
        <f>IF(A109=0,0,IF(A109&lt;&gt;0,C109))</f>
        <v>1</v>
      </c>
    </row>
    <row r="110" spans="1:14" s="6" customFormat="1" hidden="1" x14ac:dyDescent="0.25">
      <c r="A110" s="6">
        <f>IF(B103=1,G221,IF(B103=3,G221,IF(B103=2,0)))</f>
        <v>297858</v>
      </c>
      <c r="B110" s="6" t="str">
        <f>IF(SAP!$A$7=1,VLOOKUP(A110,SAP!$1:$1048576,2,FALSE),IF(SAP!$A$7=2,VLOOKUP(A110,SAP!$1:$1048576,5,FALSE),IF(SAP!$A$7=3,VLOOKUP(A110,SAP!$1:$1048576,6,FALSE),IF(SAP!$A$7=4,VLOOKUP(A110,SAP!$1:$1048576,7,FALSE)))))</f>
        <v>Przedłużka zasuwn. NT MV400 bez zaczepu</v>
      </c>
      <c r="C110" s="6">
        <f>F221*2</f>
        <v>2</v>
      </c>
      <c r="E110" s="6">
        <f>IF(A110=0,0,IF(A110&lt;&gt;0,C110))</f>
        <v>2</v>
      </c>
    </row>
    <row r="111" spans="1:14" s="6" customFormat="1" hidden="1" x14ac:dyDescent="0.25">
      <c r="A111" s="6">
        <f>IF(B103=1,G230,IF(B103=3,G230,IF(B103=2,0)))</f>
        <v>603447</v>
      </c>
      <c r="B111" s="6" t="str">
        <f>IF(SAP!$A$7=1,VLOOKUP(A111,SAP!$1:$1048576,2,FALSE),IF(SAP!$A$7=2,VLOOKUP(A111,SAP!$1:$1048576,5,FALSE),IF(SAP!$A$7=3,VLOOKUP(A111,SAP!$1:$1048576,6,FALSE),IF(SAP!$A$7=4,VLOOKUP(A111,SAP!$1:$1048576,7,FALSE)))))</f>
        <v>Zamk. środkowe góra 1001-1200 NT ALV</v>
      </c>
      <c r="C111" s="6">
        <f>F230*4</f>
        <v>4</v>
      </c>
      <c r="E111" s="6">
        <f>IF(A111=0,0,IF(A111&lt;&gt;0,C111))</f>
        <v>4</v>
      </c>
      <c r="F111" s="35" t="str">
        <f>IF(D15=SAP!A72,SAP!A71,IF('Schemat C'!D15=SAP!A73,SAP!A71,IF('Schemat C'!D15="ok"," ")))</f>
        <v xml:space="preserve"> </v>
      </c>
    </row>
    <row r="112" spans="1:14" s="6" customFormat="1" hidden="1" x14ac:dyDescent="0.25">
      <c r="A112" s="6">
        <f>IF(B103=1,G238,IF(B103=3,G238,IF(B103=2,0)))</f>
        <v>255282</v>
      </c>
      <c r="B112" s="6" t="str">
        <f>IF(SAP!$A$7=1,VLOOKUP(A112,SAP!$1:$1048576,2,FALSE),IF(SAP!$A$7=2,VLOOKUP(A112,SAP!$1:$1048576,5,FALSE),IF(SAP!$A$7=3,VLOOKUP(A112,SAP!$1:$1048576,6,FALSE),IF(SAP!$A$7=4,VLOOKUP(A112,SAP!$1:$1048576,7,FALSE)))))</f>
        <v>Zamkn. środkowe 1E NT MV600 łączone</v>
      </c>
      <c r="C112" s="6">
        <f>F238*2</f>
        <v>2</v>
      </c>
      <c r="E112" s="6">
        <f t="shared" ref="E112:E149" si="15">IF(A112=0,0,IF(A112&lt;&gt;0,C112))</f>
        <v>2</v>
      </c>
    </row>
    <row r="113" spans="1:5" s="6" customFormat="1" hidden="1" x14ac:dyDescent="0.25">
      <c r="A113" s="6">
        <f>IF(B103=1,M238,IF(B103=3,M238,IF(B103=2,0)))</f>
        <v>297858</v>
      </c>
      <c r="B113" s="6" t="str">
        <f>IF(SAP!$A$7=1,VLOOKUP(A113,SAP!$1:$1048576,2,FALSE),IF(SAP!$A$7=2,VLOOKUP(A113,SAP!$1:$1048576,5,FALSE),IF(SAP!$A$7=3,VLOOKUP(A113,SAP!$1:$1048576,6,FALSE),IF(SAP!$A$7=4,VLOOKUP(A113,SAP!$1:$1048576,7,FALSE)))))</f>
        <v>Przedłużka zasuwn. NT MV400 bez zaczepu</v>
      </c>
      <c r="C113" s="6">
        <f>L238*2</f>
        <v>2</v>
      </c>
      <c r="E113" s="6">
        <f t="shared" si="15"/>
        <v>2</v>
      </c>
    </row>
    <row r="114" spans="1:5" s="6" customFormat="1" hidden="1" x14ac:dyDescent="0.25">
      <c r="A114" s="6">
        <f>IF(B103=1,S238,IF(B103=3,S238,IF(B103=2,0)))</f>
        <v>450821</v>
      </c>
      <c r="B114" s="6" t="str">
        <f>IF(SAP!$A$7=1,VLOOKUP(A114,SAP!$1:$1048576,2,FALSE),IF(SAP!$A$7=2,VLOOKUP(A114,SAP!$1:$1048576,5,FALSE),IF(SAP!$A$7=3,VLOOKUP(A114,SAP!$1:$1048576,6,FALSE),IF(SAP!$A$7=4,VLOOKUP(A114,SAP!$1:$1048576,7,FALSE)))))</f>
        <v>Zamkn. środ. 200/E łącz NT</v>
      </c>
      <c r="C114" s="6">
        <f>R238*2</f>
        <v>2</v>
      </c>
      <c r="E114" s="6">
        <f t="shared" si="15"/>
        <v>2</v>
      </c>
    </row>
    <row r="115" spans="1:5" s="6" customFormat="1" hidden="1" x14ac:dyDescent="0.25">
      <c r="A115" s="6">
        <f>IF(B103=1,A240,IF(B103=3,A240,IF(B103=2,0)))</f>
        <v>260272</v>
      </c>
      <c r="B115" s="6" t="str">
        <f>IF(SAP!$A$7=1,VLOOKUP(A115,SAP!$1:$1048576,2,FALSE),IF(SAP!$A$7=2,VLOOKUP(A115,SAP!$1:$1048576,5,FALSE),IF(SAP!$A$7=3,VLOOKUP(A115,SAP!$1:$1048576,6,FALSE),IF(SAP!$A$7=4,VLOOKUP(A115,SAP!$1:$1048576,7,FALSE)))))</f>
        <v>Narożnik Ku/r NT/1V</v>
      </c>
      <c r="C115" s="6">
        <f>C240*2</f>
        <v>4</v>
      </c>
      <c r="E115" s="6">
        <f t="shared" si="15"/>
        <v>4</v>
      </c>
    </row>
    <row r="116" spans="1:5" s="6" customFormat="1" hidden="1" x14ac:dyDescent="0.25">
      <c r="A116" s="6">
        <f>IF(B103=1,A241,IF(B103=3,A241,IF(B103=2,0)))</f>
        <v>260275</v>
      </c>
      <c r="B116" s="6" t="str">
        <f>IF(SAP!$A$7=1,VLOOKUP(A116,SAP!$1:$1048576,2,FALSE),IF(SAP!$A$7=2,VLOOKUP(A116,SAP!$1:$1048576,5,FALSE),IF(SAP!$A$7=3,VLOOKUP(A116,SAP!$1:$1048576,6,FALSE),IF(SAP!$A$7=4,VLOOKUP(A116,SAP!$1:$1048576,7,FALSE)))))</f>
        <v>Narożnik NT/1E</v>
      </c>
      <c r="C116" s="6">
        <f>C241*2</f>
        <v>4</v>
      </c>
      <c r="E116" s="6">
        <f t="shared" si="15"/>
        <v>4</v>
      </c>
    </row>
    <row r="117" spans="1:5" s="6" customFormat="1" hidden="1" x14ac:dyDescent="0.25">
      <c r="A117" s="6">
        <f>IF(B103=1,A248,IF(B103=2,0,IF(B103=3,A248)))</f>
        <v>762909</v>
      </c>
      <c r="B117" s="6" t="str">
        <f>IF(SAP!$A$7=1,VLOOKUP(A117,SAP!$1:$1048576,2,FALSE),IF(SAP!$A$7=2,VLOOKUP(A117,SAP!$1:$1048576,5,FALSE),IF(SAP!$A$7=3,VLOOKUP(A117,SAP!$1:$1048576,6,FALSE),IF(SAP!$A$7=4,VLOOKUP(A117,SAP!$1:$1048576,7,FALSE)))))</f>
        <v>Wózek 8 41 L PIN</v>
      </c>
      <c r="C117" s="6">
        <f>SUM(2,IF(D106&gt;=1061,1))</f>
        <v>3</v>
      </c>
      <c r="E117" s="6">
        <f t="shared" si="15"/>
        <v>3</v>
      </c>
    </row>
    <row r="118" spans="1:5" s="6" customFormat="1" hidden="1" x14ac:dyDescent="0.25">
      <c r="A118" s="6">
        <f>IF(B103=1,A249,IF(B103=2,0,IF(B103=3,A249)))</f>
        <v>762910</v>
      </c>
      <c r="B118" s="6" t="str">
        <f>IF(SAP!$A$7=1,VLOOKUP(A118,SAP!$1:$1048576,2,FALSE),IF(SAP!$A$7=2,VLOOKUP(A118,SAP!$1:$1048576,5,FALSE),IF(SAP!$A$7=3,VLOOKUP(A118,SAP!$1:$1048576,6,FALSE),IF(SAP!$A$7=4,VLOOKUP(A118,SAP!$1:$1048576,7,FALSE)))))</f>
        <v>Wózek 8 41 R PIN</v>
      </c>
      <c r="C118" s="6">
        <f>SUM(2,IF(D106&gt;=1061,1))</f>
        <v>3</v>
      </c>
      <c r="E118" s="6">
        <f t="shared" si="15"/>
        <v>3</v>
      </c>
    </row>
    <row r="119" spans="1:5" s="6" customFormat="1" hidden="1" x14ac:dyDescent="0.25">
      <c r="A119" s="6">
        <f>IF(B103=1,A253,IF(B103=2,0,IF(B103=3,A253)))</f>
        <v>762911</v>
      </c>
      <c r="B119" s="6" t="str">
        <f>IF(SAP!$A$7=1,VLOOKUP(A119,SAP!$1:$1048576,2,FALSE),IF(SAP!$A$7=2,VLOOKUP(A119,SAP!$1:$1048576,5,FALSE),IF(SAP!$A$7=3,VLOOKUP(A119,SAP!$1:$1048576,6,FALSE),IF(SAP!$A$7=4,VLOOKUP(A119,SAP!$1:$1048576,7,FALSE)))))</f>
        <v>Jednostka ster. 8 41 L PIN</v>
      </c>
      <c r="C119" s="6">
        <f>SUM(2,IF(D106&gt;=1061,1))</f>
        <v>3</v>
      </c>
      <c r="E119" s="6">
        <f t="shared" si="15"/>
        <v>3</v>
      </c>
    </row>
    <row r="120" spans="1:5" s="6" customFormat="1" hidden="1" x14ac:dyDescent="0.25">
      <c r="A120" s="6">
        <f>IF(B103=1,A254,IF(B103=2,0,IF(B103=3,A254)))</f>
        <v>762912</v>
      </c>
      <c r="B120" s="6" t="str">
        <f>IF(SAP!$A$7=1,VLOOKUP(A120,SAP!$1:$1048576,2,FALSE),IF(SAP!$A$7=2,VLOOKUP(A120,SAP!$1:$1048576,5,FALSE),IF(SAP!$A$7=3,VLOOKUP(A120,SAP!$1:$1048576,6,FALSE),IF(SAP!$A$7=4,VLOOKUP(A120,SAP!$1:$1048576,7,FALSE)))))</f>
        <v>Jednostka ster. 8 41 R PIN</v>
      </c>
      <c r="C120" s="6">
        <f>SUM(2,IF(D106&gt;=1061,1))</f>
        <v>3</v>
      </c>
      <c r="E120" s="6">
        <f t="shared" si="15"/>
        <v>3</v>
      </c>
    </row>
    <row r="121" spans="1:5" s="6" customFormat="1" hidden="1" x14ac:dyDescent="0.25">
      <c r="A121" s="6">
        <f>IF(B103=1,A258,IF(B103=2,0,IF(B103=3,A258)))</f>
        <v>762913</v>
      </c>
      <c r="B121" s="6" t="str">
        <f>IF(SAP!$A$7=1,VLOOKUP(A121,SAP!$1:$1048576,2,FALSE),IF(SAP!$A$7=2,VLOOKUP(A121,SAP!$1:$1048576,5,FALSE),IF(SAP!$A$7=3,VLOOKUP(A121,SAP!$1:$1048576,6,FALSE),IF(SAP!$A$7=4,VLOOKUP(A121,SAP!$1:$1048576,7,FALSE)))))</f>
        <v>Docisk środkowy 8 41 L PIN</v>
      </c>
      <c r="C121" s="6">
        <f>C258</f>
        <v>3</v>
      </c>
      <c r="E121" s="6">
        <f t="shared" si="15"/>
        <v>3</v>
      </c>
    </row>
    <row r="122" spans="1:5" s="6" customFormat="1" hidden="1" x14ac:dyDescent="0.25">
      <c r="A122" s="6">
        <f>IF(B103=1,A259,IF(B103=2,0,IF(B103=3,A259)))</f>
        <v>762914</v>
      </c>
      <c r="B122" s="6" t="str">
        <f>IF(SAP!$A$7=1,VLOOKUP(A122,SAP!$1:$1048576,2,FALSE),IF(SAP!$A$7=2,VLOOKUP(A122,SAP!$1:$1048576,5,FALSE),IF(SAP!$A$7=3,VLOOKUP(A122,SAP!$1:$1048576,6,FALSE),IF(SAP!$A$7=4,VLOOKUP(A122,SAP!$1:$1048576,7,FALSE)))))</f>
        <v>Docisk środkowy 8 41 R PIN</v>
      </c>
      <c r="C122" s="6">
        <f>C258</f>
        <v>3</v>
      </c>
      <c r="E122" s="6">
        <f t="shared" si="15"/>
        <v>3</v>
      </c>
    </row>
    <row r="123" spans="1:5" s="6" customFormat="1" hidden="1" x14ac:dyDescent="0.25">
      <c r="A123" s="6">
        <f>IF(B103=1,A263,IF(B103=3,A263,IF(B103=2,0)))</f>
        <v>764350</v>
      </c>
      <c r="B123" s="6" t="str">
        <f>IF(SAP!$A$7=1,VLOOKUP(A123,SAP!$1:$1048576,2,FALSE),IF(SAP!$A$7=2,VLOOKUP(A123,SAP!$1:$1048576,5,FALSE),IF(SAP!$A$7=3,VLOOKUP(A123,SAP!$1:$1048576,6,FALSE),IF(SAP!$A$7=4,VLOOKUP(A123,SAP!$1:$1048576,7,FALSE)))))</f>
        <v>Zamkn. środkowe 1E NTN MV130 łączone</v>
      </c>
      <c r="C123" s="6">
        <f>C263*2</f>
        <v>8</v>
      </c>
      <c r="E123" s="6">
        <f t="shared" si="15"/>
        <v>8</v>
      </c>
    </row>
    <row r="124" spans="1:5" s="6" customFormat="1" hidden="1" x14ac:dyDescent="0.25">
      <c r="A124" s="6">
        <f>IF(B103=1,A267,IF(B103=2,0,IF(B103=3,A266)))</f>
        <v>809612</v>
      </c>
      <c r="B124" s="6" t="str">
        <f>IF(SAP!$A$7=1,VLOOKUP(A124,SAP!$1:$1048576,2,FALSE),IF(SAP!$A$7=2,VLOOKUP(A124,SAP!$1:$1048576,5,FALSE),IF(SAP!$A$7=3,VLOOKUP(A124,SAP!$1:$1048576,6,FALSE),IF(SAP!$A$7=4,VLOOKUP(A124,SAP!$1:$1048576,7,FALSE)))))</f>
        <v>Trzpień docisku środkowego 32.8 PIN Aluplast</v>
      </c>
      <c r="C124" s="6">
        <f>C265*2</f>
        <v>6</v>
      </c>
      <c r="E124" s="6">
        <f t="shared" si="15"/>
        <v>6</v>
      </c>
    </row>
    <row r="125" spans="1:5" s="6" customFormat="1" hidden="1" x14ac:dyDescent="0.25">
      <c r="A125" s="6">
        <f>IF(B103=1,A270,IF(B103=2,0,IF(B103=3,A270)))</f>
        <v>793493</v>
      </c>
      <c r="B125" s="6" t="str">
        <f>IF(SAP!$A$7=1,VLOOKUP(A125,SAP!$1:$1048576,2,FALSE),IF(SAP!$A$7=2,VLOOKUP(A125,SAP!$1:$1048576,5,FALSE),IF(SAP!$A$7=3,VLOOKUP(A125,SAP!$1:$1048576,6,FALSE),IF(SAP!$A$7=4,VLOOKUP(A125,SAP!$1:$1048576,7,FALSE)))))</f>
        <v>Zaczep docisku MV-SEB</v>
      </c>
      <c r="C125" s="6">
        <f>C270*2</f>
        <v>6</v>
      </c>
      <c r="E125" s="6">
        <f t="shared" si="15"/>
        <v>6</v>
      </c>
    </row>
    <row r="126" spans="1:5" s="6" customFormat="1" hidden="1" x14ac:dyDescent="0.25">
      <c r="A126" s="6">
        <f>IF(B103=1,D126,IF(B103=2,0,IF(B103=3,D126)))</f>
        <v>788175</v>
      </c>
      <c r="B126" s="6" t="str">
        <f>IF(SAP!$A$7=1,VLOOKUP(A126,SAP!$1:$1048576,2,FALSE),IF(SAP!$A$7=2,VLOOKUP(A126,SAP!$1:$1048576,5,FALSE),IF(SAP!$A$7=3,VLOOKUP(A126,SAP!$1:$1048576,6,FALSE),IF(SAP!$A$7=4,VLOOKUP(A126,SAP!$1:$1048576,7,FALSE)))))</f>
        <v>Zaczep blok.bł.obsługi drewno/PVC12.2PIN</v>
      </c>
      <c r="C126" s="6">
        <f>C273</f>
        <v>1</v>
      </c>
      <c r="D126" s="6">
        <f>IF(C106&gt;1001,A274,IF(C106&lt;=1000,0))</f>
        <v>788175</v>
      </c>
      <c r="E126" s="6">
        <f t="shared" si="15"/>
        <v>1</v>
      </c>
    </row>
    <row r="127" spans="1:5" s="6" customFormat="1" hidden="1" x14ac:dyDescent="0.25">
      <c r="A127" s="6">
        <f>IF($B$103=1,A278,IF($B$103=2,0,IF($B$103=3,A278)))</f>
        <v>744579</v>
      </c>
      <c r="B127" s="6" t="str">
        <f>IF(SAP!$A$7=1,VLOOKUP(A127,SAP!$1:$1048576,2,FALSE),IF(SAP!$A$7=2,VLOOKUP(A127,SAP!$1:$1048576,5,FALSE),IF(SAP!$A$7=3,VLOOKUP(A127,SAP!$1:$1048576,6,FALSE),IF(SAP!$A$7=4,VLOOKUP(A127,SAP!$1:$1048576,7,FALSE)))))</f>
        <v>Zaczep p-wyw PVC 12.2 PIN</v>
      </c>
      <c r="C127" s="6">
        <f>E164</f>
        <v>3</v>
      </c>
      <c r="E127" s="6">
        <f t="shared" si="15"/>
        <v>3</v>
      </c>
    </row>
    <row r="128" spans="1:5" s="6" customFormat="1" hidden="1" x14ac:dyDescent="0.25">
      <c r="A128" s="6">
        <f>IF(B103=1,A282,IF(B103=2,0,IF(B103=3,A282)))</f>
        <v>635307</v>
      </c>
      <c r="B128" s="6" t="str">
        <f>IF(SAP!$A$7=1,VLOOKUP(A128,SAP!$1:$1048576,2,FALSE),IF(SAP!$A$7=2,VLOOKUP(A128,SAP!$1:$1048576,5,FALSE),IF(SAP!$A$7=3,VLOOKUP(A128,SAP!$1:$1048576,6,FALSE),IF(SAP!$A$7=4,VLOOKUP(A128,SAP!$1:$1048576,7,FALSE)))))</f>
        <v>Zderzak 14 PIN</v>
      </c>
      <c r="C128" s="6">
        <f>2</f>
        <v>2</v>
      </c>
      <c r="E128" s="6">
        <f t="shared" si="15"/>
        <v>2</v>
      </c>
    </row>
    <row r="129" spans="1:8" s="6" customFormat="1" hidden="1" x14ac:dyDescent="0.25">
      <c r="A129" s="6">
        <f>IF(B103=1,A286,IF(B103=2,0,IF(B103=3,A286)))</f>
        <v>800196</v>
      </c>
      <c r="B129" s="6" t="str">
        <f>IF(SAP!$A$7=1,VLOOKUP(A129,SAP!$1:$1048576,2,FALSE),IF(SAP!$A$7=2,VLOOKUP(A129,SAP!$1:$1048576,5,FALSE),IF(SAP!$A$7=3,VLOOKUP(A129,SAP!$1:$1048576,6,FALSE),IF(SAP!$A$7=4,VLOOKUP(A129,SAP!$1:$1048576,7,FALSE)))))</f>
        <v>Stoper do prowadnicy górnej PIN</v>
      </c>
      <c r="C129" s="6">
        <f>1*3</f>
        <v>3</v>
      </c>
      <c r="E129" s="6">
        <f>IF(A129=0,0,IF(A129&lt;&gt;0,C129))</f>
        <v>3</v>
      </c>
    </row>
    <row r="130" spans="1:8" s="6" customFormat="1" hidden="1" x14ac:dyDescent="0.25">
      <c r="A130" s="6">
        <f>IF(B103=1,A287,IF(B103=2,0,IF(B103=3,0)))</f>
        <v>800197</v>
      </c>
      <c r="B130" s="6" t="str">
        <f>IF(SAP!$A$7=1,VLOOKUP(A130,SAP!$1:$1048576,2,FALSE),IF(SAP!$A$7=2,VLOOKUP(A130,SAP!$1:$1048576,5,FALSE),IF(SAP!$A$7=3,VLOOKUP(A130,SAP!$1:$1048576,6,FALSE),IF(SAP!$A$7=4,VLOOKUP(A130,SAP!$1:$1048576,7,FALSE)))))</f>
        <v>El. dyst. stopera prowadnicy górnej PIN</v>
      </c>
      <c r="C130" s="6">
        <f>1*3</f>
        <v>3</v>
      </c>
      <c r="E130" s="6">
        <f>IF(A130=0,0,IF(A130&lt;&gt;0,C130))</f>
        <v>3</v>
      </c>
    </row>
    <row r="131" spans="1:8" s="6" customFormat="1" hidden="1" x14ac:dyDescent="0.25">
      <c r="A131" s="6">
        <f>IF(B103=1,D131,IF(B103=2,0,IF(B103=3,D131)))</f>
        <v>819632</v>
      </c>
      <c r="B131" s="6" t="str">
        <f>IF(SAP!$A$7=1,VLOOKUP(A131,SAP!$1:$1048576,2,FALSE),IF(SAP!$A$7=2,VLOOKUP(A131,SAP!$1:$1048576,5,FALSE),IF(SAP!$A$7=3,VLOOKUP(A131,SAP!$1:$1048576,6,FALSE),IF(SAP!$A$7=4,VLOOKUP(A131,SAP!$1:$1048576,7,FALSE)))))</f>
        <v>Osłona MB R01.1 PIN</v>
      </c>
      <c r="C131" s="6">
        <f>C258*2</f>
        <v>6</v>
      </c>
      <c r="D131" s="6">
        <f>IF(E289=1,A289,IF(E289=2,A290,IF(E289=3,A291,IF(E289=4,A292))))</f>
        <v>819632</v>
      </c>
      <c r="E131" s="6">
        <f t="shared" si="15"/>
        <v>6</v>
      </c>
    </row>
    <row r="132" spans="1:8" s="6" customFormat="1" hidden="1" x14ac:dyDescent="0.25">
      <c r="A132" s="6">
        <f>IF($B$103=1,A294,IF($B$103=2,0,IF($B$103=3,A295)))</f>
        <v>817052</v>
      </c>
      <c r="B132" s="6" t="str">
        <f>IF(SAP!$A$7=1,VLOOKUP(A132,SAP!$1:$1048576,2,FALSE),IF(SAP!$A$7=2,VLOOKUP(A132,SAP!$1:$1048576,5,FALSE),IF(SAP!$A$7=3,VLOOKUP(A132,SAP!$1:$1048576,6,FALSE),IF(SAP!$A$7=4,VLOOKUP(A132,SAP!$1:$1048576,7,FALSE)))))</f>
        <v>Kpl. elem. antywyważ. schemat C  PVC PIN</v>
      </c>
      <c r="C132" s="6">
        <f>C294</f>
        <v>1</v>
      </c>
      <c r="E132" s="6">
        <f>IF(A132=0,0,IF(A132&lt;&gt;0,C132))</f>
        <v>1</v>
      </c>
      <c r="G132" s="6" t="str">
        <f>IF(C104&lt;1200,H132,IF(C104&gt;=1200,""))</f>
        <v/>
      </c>
      <c r="H132" s="6" t="str">
        <f>SAP!A132</f>
        <v>Stosować tylko dla warunku FFH ≥1200 mm</v>
      </c>
    </row>
    <row r="133" spans="1:8" s="6" customFormat="1" hidden="1" x14ac:dyDescent="0.25">
      <c r="A133" s="6">
        <f>IF($B$103=1,A296,IF($B$103=2,0,IF($B$103=3,A297)))</f>
        <v>822393</v>
      </c>
      <c r="B133" s="6" t="str">
        <f>IF(SAP!$A$7=1,VLOOKUP(A133,SAP!$1:$1048576,2,FALSE),IF(SAP!$A$7=2,VLOOKUP(A133,SAP!$1:$1048576,5,FALSE),IF(SAP!$A$7=3,VLOOKUP(A133,SAP!$1:$1048576,6,FALSE),IF(SAP!$A$7=4,VLOOKUP(A133,SAP!$1:$1048576,7,FALSE)))))</f>
        <v>Trzpień p-wyw docisku środk. 34X8 PIN</v>
      </c>
      <c r="C133" s="6">
        <f>C296</f>
        <v>1</v>
      </c>
      <c r="E133" s="6">
        <f>IF(A133=0,0,IF(A133&lt;&gt;0,C133))</f>
        <v>1</v>
      </c>
    </row>
    <row r="134" spans="1:8" s="6" customFormat="1" hidden="1" x14ac:dyDescent="0.25">
      <c r="A134" s="6">
        <f>IF($B$103=1,E299,IF($B$103=2,0,IF($B$103=3,E299)))</f>
        <v>762913</v>
      </c>
      <c r="B134" s="6" t="str">
        <f>IF(SAP!$A$7=1,VLOOKUP(A134,SAP!$1:$1048576,2,FALSE),IF(SAP!$A$7=2,VLOOKUP(A134,SAP!$1:$1048576,5,FALSE),IF(SAP!$A$7=3,VLOOKUP(A134,SAP!$1:$1048576,6,FALSE),IF(SAP!$A$7=4,VLOOKUP(A134,SAP!$1:$1048576,7,FALSE)))))</f>
        <v>Docisk środkowy 8 41 L PIN</v>
      </c>
      <c r="C134" s="6">
        <f>C296</f>
        <v>1</v>
      </c>
      <c r="E134" s="6">
        <f>IF(A134=0,0,IF(A134&lt;&gt;0,C134))</f>
        <v>1</v>
      </c>
    </row>
    <row r="135" spans="1:8" s="6" customFormat="1" hidden="1" x14ac:dyDescent="0.25">
      <c r="A135" s="6">
        <f>IF($B$103=1,A300,IF($B$103=2,0,IF($B$103=3,A300)))</f>
        <v>810279</v>
      </c>
      <c r="B135" s="6" t="str">
        <f>IF(SAP!$A$7=1,VLOOKUP(A135,SAP!$1:$1048576,2,FALSE),IF(SAP!$A$7=2,VLOOKUP(A135,SAP!$1:$1048576,5,FALSE),IF(SAP!$A$7=3,VLOOKUP(A135,SAP!$1:$1048576,6,FALSE),IF(SAP!$A$7=4,VLOOKUP(A135,SAP!$1:$1048576,7,FALSE)))))</f>
        <v>Zaczep do docisku p-wyw.  MB KPL PIN</v>
      </c>
      <c r="C135" s="6">
        <f>C300</f>
        <v>1</v>
      </c>
      <c r="E135" s="6">
        <f t="shared" ref="E135:E137" si="16">IF(A135=0,0,IF(A135&lt;&gt;0,C135))</f>
        <v>1</v>
      </c>
    </row>
    <row r="136" spans="1:8" s="6" customFormat="1" hidden="1" x14ac:dyDescent="0.25">
      <c r="A136" s="6">
        <f>IF($B$103=1,E304,IF($B$103=2,0,IF($B$103=3,E304)))</f>
        <v>828482</v>
      </c>
      <c r="B136" s="6" t="str">
        <f>IF(SAP!$A$7=1,VLOOKUP(A136,SAP!$1:$1048576,2,FALSE),IF(SAP!$A$7=2,VLOOKUP(A136,SAP!$1:$1048576,5,FALSE),IF(SAP!$A$7=3,VLOOKUP(A136,SAP!$1:$1048576,6,FALSE),IF(SAP!$A$7=4,VLOOKUP(A136,SAP!$1:$1048576,7,FALSE)))))</f>
        <v>Osłona zacz. antywyw. MB R01.1 PIN</v>
      </c>
      <c r="C136" s="6">
        <f>C300</f>
        <v>1</v>
      </c>
      <c r="E136" s="6">
        <f t="shared" si="16"/>
        <v>1</v>
      </c>
    </row>
    <row r="137" spans="1:8" s="6" customFormat="1" hidden="1" x14ac:dyDescent="0.25">
      <c r="A137" s="6">
        <f>IF($B$103=1,A236,IF($B$103=2,0,IF($B$103=3,A236)))</f>
        <v>450821</v>
      </c>
      <c r="B137" s="6" t="str">
        <f>IF(SAP!$A$7=1,VLOOKUP(A137,SAP!$1:$1048576,2,FALSE),IF(SAP!$A$7=2,VLOOKUP(A137,SAP!$1:$1048576,5,FALSE),IF(SAP!$A$7=3,VLOOKUP(A137,SAP!$1:$1048576,6,FALSE),IF(SAP!$A$7=4,VLOOKUP(A137,SAP!$1:$1048576,7,FALSE)))))</f>
        <v>Zamkn. środ. 200/E łącz NT</v>
      </c>
      <c r="C137" s="6">
        <f>1</f>
        <v>1</v>
      </c>
      <c r="E137" s="6">
        <f t="shared" si="16"/>
        <v>1</v>
      </c>
    </row>
    <row r="138" spans="1:8" s="6" customFormat="1" hidden="1" x14ac:dyDescent="0.25">
      <c r="A138" s="6">
        <f>IF(B103=1,D138,IF(B103=2,0,IF(B103=3,D138)))</f>
        <v>780551</v>
      </c>
      <c r="B138" s="6" t="str">
        <f>IF(SAP!$A$7=1,VLOOKUP(A138,SAP!$1:$1048576,2,FALSE),IF(SAP!$A$7=2,VLOOKUP(A138,SAP!$1:$1048576,5,FALSE),IF(SAP!$A$7=3,VLOOKUP(A138,SAP!$1:$1048576,6,FALSE),IF(SAP!$A$7=4,VLOOKUP(A138,SAP!$1:$1048576,7,FALSE)))))</f>
        <v>Klamka R-line 43mm 200 R01.1 ALV</v>
      </c>
      <c r="C138" s="6">
        <f>1</f>
        <v>1</v>
      </c>
      <c r="D138" s="6">
        <f>IF(G398&lt;&gt;0,G398,IF(G398=0,"niemożliwe"))</f>
        <v>780551</v>
      </c>
      <c r="E138" s="6">
        <f t="shared" si="15"/>
        <v>1</v>
      </c>
      <c r="H138" s="6" t="str">
        <f>IF(D95=2,SAP!A130,IF(D95&lt;&gt;2," "))</f>
        <v xml:space="preserve"> </v>
      </c>
    </row>
    <row r="139" spans="1:8" s="6" customFormat="1" hidden="1" x14ac:dyDescent="0.25">
      <c r="A139" s="6">
        <f>IF(B103=1,D139,IF(B103=2,0,IF(B103=3,D139)))</f>
        <v>780551</v>
      </c>
      <c r="B139" s="6" t="str">
        <f>IF(SAP!$A$7=1,VLOOKUP(A139,SAP!$1:$1048576,2,FALSE),IF(SAP!$A$7=2,VLOOKUP(A139,SAP!$1:$1048576,5,FALSE),IF(SAP!$A$7=3,VLOOKUP(A139,SAP!$1:$1048576,6,FALSE),IF(SAP!$A$7=4,VLOOKUP(A139,SAP!$1:$1048576,7,FALSE)))))</f>
        <v>Klamka R-line 43mm 200 R01.1 ALV</v>
      </c>
      <c r="C139" s="6">
        <f>1</f>
        <v>1</v>
      </c>
      <c r="D139" s="6">
        <f>IF(L381&lt;&gt;0,L381,IF(L381=0,"niemożliwe"))</f>
        <v>780551</v>
      </c>
      <c r="E139" s="6">
        <f>IF(A139=0,0,IF(A139&lt;&gt;0,C139))</f>
        <v>1</v>
      </c>
    </row>
    <row r="140" spans="1:8" s="6" customFormat="1" hidden="1" x14ac:dyDescent="0.25">
      <c r="A140" s="12">
        <f>IF(B103=1,D428,IF(B103=2,0,IF(B103=3,D428)))</f>
        <v>820028</v>
      </c>
      <c r="B140" s="6" t="str">
        <f>IF(SAP!$A$7=1,VLOOKUP(A140,SAP!$1:$1048576,2,FALSE),IF(SAP!$A$7=2,VLOOKUP(A140,SAP!$1:$1048576,5,FALSE),IF(SAP!$A$7=3,VLOOKUP(A140,SAP!$1:$1048576,6,FALSE),IF(SAP!$A$7=4,VLOOKUP(A140,SAP!$1:$1048576,7,FALSE)))))</f>
        <v>Pochwyt zlicowany 43mm R01.1 PIN</v>
      </c>
      <c r="C140" s="13">
        <f>IF(A140=0,0,IF(A140&lt;&gt;0,1))</f>
        <v>1</v>
      </c>
      <c r="E140" s="6">
        <f>IF(A140=0,0,IF(A140&lt;&gt;0,C140))</f>
        <v>1</v>
      </c>
    </row>
    <row r="141" spans="1:8" s="6" customFormat="1" hidden="1" x14ac:dyDescent="0.25">
      <c r="A141" s="6">
        <f>IF(B103=1,D429,IF(B103=2,0,IF(B103=3,D429)))</f>
        <v>0</v>
      </c>
      <c r="B141" s="6" t="str">
        <f>IF(SAP!$A$7=1,VLOOKUP(A141,SAP!$1:$1048576,2,FALSE),IF(SAP!$A$7=2,VLOOKUP(A141,SAP!$1:$1048576,5,FALSE),IF(SAP!$A$7=3,VLOOKUP(A141,SAP!$1:$1048576,6,FALSE),IF(SAP!$A$7=4,VLOOKUP(A141,SAP!$1:$1048576,7,FALSE)))))</f>
        <v>__</v>
      </c>
      <c r="C141" s="13">
        <f>IF(A141=0,0,IF(A141&lt;&gt;0,1))</f>
        <v>0</v>
      </c>
      <c r="E141" s="6">
        <f>IF(A141=0,0,IF(A141&lt;&gt;0,C141))</f>
        <v>0</v>
      </c>
    </row>
    <row r="142" spans="1:8" s="6" customFormat="1" hidden="1" x14ac:dyDescent="0.25">
      <c r="A142" s="6">
        <f>A413</f>
        <v>817180</v>
      </c>
      <c r="B142" s="6" t="str">
        <f>IF(SAP!$A$7=1,VLOOKUP(A142,SAP!$1:$1048576,2,FALSE),IF(SAP!$A$7=2,VLOOKUP(A142,SAP!$1:$1048576,5,FALSE),IF(SAP!$A$7=3,VLOOKUP(A142,SAP!$1:$1048576,6,FALSE),IF(SAP!$A$7=4,VLOOKUP(A142,SAP!$1:$1048576,7,FALSE)))))</f>
        <v>Zestaw śrub M5X70 (2szt.)</v>
      </c>
      <c r="C142" s="13">
        <f>G146</f>
        <v>1</v>
      </c>
      <c r="E142" s="6">
        <f>IF(A413=0,0,IF(A413&lt;&gt;0,C142))</f>
        <v>1</v>
      </c>
      <c r="G142" s="6">
        <f>IF(A140&lt;&gt;0,1,IF(A140=0,0))</f>
        <v>1</v>
      </c>
    </row>
    <row r="143" spans="1:8" s="6" customFormat="1" hidden="1" x14ac:dyDescent="0.25">
      <c r="A143" s="6">
        <f>IF(G146&lt;&gt;0,A413,IF(G146=0,0))</f>
        <v>817180</v>
      </c>
      <c r="B143" s="6" t="str">
        <f>IF(SAP!$A$7=1,VLOOKUP(A143,SAP!$1:$1048576,2,FALSE),IF(SAP!$A$7=2,VLOOKUP(A143,SAP!$1:$1048576,5,FALSE),IF(SAP!$A$7=3,VLOOKUP(A143,SAP!$1:$1048576,6,FALSE),IF(SAP!$A$7=4,VLOOKUP(A143,SAP!$1:$1048576,7,FALSE)))))</f>
        <v>Zestaw śrub M5X70 (2szt.)</v>
      </c>
      <c r="C143" s="13">
        <f>IF(A143=0,0,IF(A143&lt;&gt;0,1))</f>
        <v>1</v>
      </c>
      <c r="E143" s="6">
        <f>IF(A413=0,0,IF(A413&lt;&gt;0,C143))</f>
        <v>1</v>
      </c>
      <c r="G143" s="6">
        <f>IF(A141&lt;&gt;0,1,IF(A141=0,0))</f>
        <v>0</v>
      </c>
    </row>
    <row r="144" spans="1:8" s="6" customFormat="1" hidden="1" x14ac:dyDescent="0.25">
      <c r="A144" s="6">
        <f>IF(B103=1,D432,IF(B103=3,D432,IF(B103=2,0)))</f>
        <v>0</v>
      </c>
      <c r="B144" s="6" t="str">
        <f>IF(SAP!$A$7=1,VLOOKUP(A144,SAP!$1:$1048576,2,FALSE),IF(SAP!$A$7=2,VLOOKUP(A144,SAP!$1:$1048576,5,FALSE),IF(SAP!$A$7=3,VLOOKUP(A144,SAP!$1:$1048576,6,FALSE),IF(SAP!$A$7=4,VLOOKUP(A144,SAP!$1:$1048576,7,FALSE)))))</f>
        <v>__</v>
      </c>
      <c r="C144" s="13">
        <f>IF(A144=0,0,IF(A144&lt;&gt;0,SUM(C117:C118)))</f>
        <v>0</v>
      </c>
      <c r="E144" s="6">
        <f>IF(A144=0,0,IF(A144&lt;&gt;0,C144))</f>
        <v>0</v>
      </c>
    </row>
    <row r="145" spans="1:9" s="6" customFormat="1" hidden="1" x14ac:dyDescent="0.25">
      <c r="A145" s="6">
        <f>IF(B103=1,D431,IF(B103=2,0,IF(B103=3,D431)))</f>
        <v>0</v>
      </c>
      <c r="B145" s="6" t="str">
        <f>IF(SAP!$A$7=1,VLOOKUP(A145,SAP!$1:$1048576,2,FALSE),IF(SAP!$A$7=2,VLOOKUP(A145,SAP!$1:$1048576,5,FALSE),IF(SAP!$A$7=3,VLOOKUP(A145,SAP!$1:$1048576,6,FALSE),IF(SAP!$A$7=4,VLOOKUP(A145,SAP!$1:$1048576,7,FALSE)))))</f>
        <v>__</v>
      </c>
      <c r="C145" s="13">
        <f>6</f>
        <v>6</v>
      </c>
      <c r="E145" s="6">
        <f t="shared" si="15"/>
        <v>0</v>
      </c>
    </row>
    <row r="146" spans="1:9" s="6" customFormat="1" hidden="1" x14ac:dyDescent="0.25">
      <c r="A146" s="6">
        <f>IF(B103=2,0,IF(B103=1,0,IF(B103=3,0)))</f>
        <v>0</v>
      </c>
      <c r="B146" s="6" t="str">
        <f>IF(SAP!$A$7=1,VLOOKUP(A146,SAP!$1:$1048576,2,FALSE),IF(SAP!$A$7=2,VLOOKUP(A146,SAP!$1:$1048576,5,FALSE),IF(SAP!$A$7=3,VLOOKUP(A146,SAP!$1:$1048576,6,FALSE),IF(SAP!$A$7=4,VLOOKUP(A146,SAP!$1:$1048576,7,FALSE)))))</f>
        <v>__</v>
      </c>
      <c r="C146" s="6">
        <f>IF(B103=2,1,IF(B103=1,0,IF(B103=3,0)))</f>
        <v>0</v>
      </c>
      <c r="E146" s="6">
        <f t="shared" si="15"/>
        <v>0</v>
      </c>
      <c r="G146" s="32">
        <f>SUM(G142:G143)</f>
        <v>1</v>
      </c>
    </row>
    <row r="147" spans="1:9" s="6" customFormat="1" hidden="1" x14ac:dyDescent="0.25">
      <c r="A147" s="6">
        <f>IF(B103=2,0,IF(B103=1,0,IF(B103=3,0)))</f>
        <v>0</v>
      </c>
      <c r="B147" s="6" t="str">
        <f>IF(SAP!$A$7=1,VLOOKUP(A147,SAP!$1:$1048576,2,FALSE),IF(SAP!$A$7=2,VLOOKUP(A147,SAP!$1:$1048576,5,FALSE),IF(SAP!$A$7=3,VLOOKUP(A147,SAP!$1:$1048576,6,FALSE),IF(SAP!$A$7=4,VLOOKUP(A147,SAP!$1:$1048576,7,FALSE)))))</f>
        <v>__</v>
      </c>
      <c r="C147" s="6">
        <f>IF(B103=2,1,IF(B103=1,0,IF(B103=3,0)))</f>
        <v>0</v>
      </c>
      <c r="E147" s="6">
        <f t="shared" si="15"/>
        <v>0</v>
      </c>
    </row>
    <row r="148" spans="1:9" s="6" customFormat="1" hidden="1" x14ac:dyDescent="0.25">
      <c r="A148" s="6">
        <f>IF(B103=2,0,IF(B103=1,0,IF(B103=3,0)))</f>
        <v>0</v>
      </c>
      <c r="B148" s="6" t="str">
        <f>IF(SAP!$A$7=1,VLOOKUP(A148,SAP!$1:$1048576,2,FALSE),IF(SAP!$A$7=2,VLOOKUP(A148,SAP!$1:$1048576,5,FALSE),IF(SAP!$A$7=3,VLOOKUP(A148,SAP!$1:$1048576,6,FALSE),IF(SAP!$A$7=4,VLOOKUP(A148,SAP!$1:$1048576,7,FALSE)))))</f>
        <v>__</v>
      </c>
      <c r="C148" s="14">
        <f>ROUNDUP(IF(B103=2,(((2*D106)+(3*C106))/2100),IF(B103=1,0)),0)</f>
        <v>0</v>
      </c>
      <c r="D148" s="15" t="s">
        <v>93</v>
      </c>
      <c r="E148" s="6">
        <f t="shared" si="15"/>
        <v>0</v>
      </c>
    </row>
    <row r="149" spans="1:9" s="6" customFormat="1" hidden="1" x14ac:dyDescent="0.25">
      <c r="A149" s="6">
        <f>IF(B103=2,0,IF(B103=1,0,IF(B103=3,0)))</f>
        <v>0</v>
      </c>
      <c r="B149" s="6" t="str">
        <f>IF(SAP!$A$7=1,VLOOKUP(A149,SAP!$1:$1048576,2,FALSE),IF(SAP!$A$7=2,VLOOKUP(A149,SAP!$1:$1048576,5,FALSE),IF(SAP!$A$7=3,VLOOKUP(A149,SAP!$1:$1048576,6,FALSE),IF(SAP!$A$7=4,VLOOKUP(A149,SAP!$1:$1048576,7,FALSE)))))</f>
        <v>__</v>
      </c>
      <c r="C149" s="14">
        <f>IF(B103=2,(C106/1000),IF(B103=1,0,IF(B103=3,0)))</f>
        <v>0</v>
      </c>
      <c r="D149" s="15" t="s">
        <v>92</v>
      </c>
      <c r="E149" s="6">
        <f t="shared" si="15"/>
        <v>0</v>
      </c>
    </row>
    <row r="150" spans="1:9" s="6" customFormat="1" hidden="1" x14ac:dyDescent="0.25"/>
    <row r="151" spans="1:9" s="6" customFormat="1" hidden="1" x14ac:dyDescent="0.25">
      <c r="C151" s="14"/>
    </row>
    <row r="152" spans="1:9" s="6" customFormat="1" hidden="1" x14ac:dyDescent="0.25">
      <c r="C152" s="14"/>
    </row>
    <row r="153" spans="1:9" s="6" customFormat="1" hidden="1" x14ac:dyDescent="0.25"/>
    <row r="154" spans="1:9" s="6" customFormat="1" hidden="1" x14ac:dyDescent="0.25"/>
    <row r="155" spans="1:9" s="6" customFormat="1" hidden="1" x14ac:dyDescent="0.25">
      <c r="C155" s="6" t="s">
        <v>3</v>
      </c>
      <c r="D155" s="6" t="s">
        <v>1</v>
      </c>
      <c r="E155" s="6" t="s">
        <v>2</v>
      </c>
      <c r="F155" s="16" t="s">
        <v>4</v>
      </c>
      <c r="G155" s="6" t="s">
        <v>5</v>
      </c>
      <c r="H155" s="6" t="s">
        <v>6</v>
      </c>
    </row>
    <row r="156" spans="1:9" s="6" customFormat="1" hidden="1" x14ac:dyDescent="0.25">
      <c r="A156" s="6">
        <f>SAP!A181</f>
        <v>785921</v>
      </c>
      <c r="B156" s="6" t="str">
        <f>SAP!B181</f>
        <v>Zasuwn. KSR 690/263 D50 PIN</v>
      </c>
      <c r="C156" s="6">
        <f>C106</f>
        <v>2237</v>
      </c>
      <c r="D156" s="6">
        <v>600</v>
      </c>
      <c r="E156" s="6">
        <v>800</v>
      </c>
      <c r="F156" s="16">
        <f>IF(C156&lt;D156,0,IF(C156&lt;=E156,1,IF(C156&gt;E156,0)))</f>
        <v>0</v>
      </c>
      <c r="G156" s="6">
        <f t="shared" ref="G156:G162" si="17">A156*F156</f>
        <v>0</v>
      </c>
      <c r="H156" s="6">
        <v>0</v>
      </c>
      <c r="I156" s="6">
        <f t="shared" ref="I156:I162" si="18">F156*H156</f>
        <v>0</v>
      </c>
    </row>
    <row r="157" spans="1:9" s="6" customFormat="1" hidden="1" x14ac:dyDescent="0.25">
      <c r="A157" s="6">
        <f>SAP!A182</f>
        <v>785922</v>
      </c>
      <c r="B157" s="6" t="str">
        <f>SAP!B182</f>
        <v>Zasuwn. KSR 890/413 D50 PIN</v>
      </c>
      <c r="C157" s="6">
        <f>C156</f>
        <v>2237</v>
      </c>
      <c r="D157" s="6">
        <v>801</v>
      </c>
      <c r="E157" s="6">
        <v>1000</v>
      </c>
      <c r="F157" s="16">
        <f t="shared" ref="F157:F162" si="19">IF(C157&lt;D157,0,IF(C157&lt;=E157,1,IF(C157&gt;E157,0)))</f>
        <v>0</v>
      </c>
      <c r="G157" s="6">
        <f t="shared" si="17"/>
        <v>0</v>
      </c>
      <c r="H157" s="6">
        <v>0</v>
      </c>
      <c r="I157" s="6">
        <f t="shared" si="18"/>
        <v>0</v>
      </c>
    </row>
    <row r="158" spans="1:9" s="6" customFormat="1" hidden="1" x14ac:dyDescent="0.25">
      <c r="A158" s="6">
        <f>SAP!A183</f>
        <v>785923</v>
      </c>
      <c r="B158" s="6" t="str">
        <f>SAP!B183</f>
        <v>Zasuwn. KSR 1090/513 1V D50 PIN</v>
      </c>
      <c r="C158" s="6">
        <f>C156</f>
        <v>2237</v>
      </c>
      <c r="D158" s="6">
        <v>1001</v>
      </c>
      <c r="E158" s="6">
        <v>1200</v>
      </c>
      <c r="F158" s="16">
        <f t="shared" si="19"/>
        <v>0</v>
      </c>
      <c r="G158" s="6">
        <f t="shared" si="17"/>
        <v>0</v>
      </c>
      <c r="H158" s="6">
        <v>1</v>
      </c>
      <c r="I158" s="6">
        <f t="shared" si="18"/>
        <v>0</v>
      </c>
    </row>
    <row r="159" spans="1:9" s="6" customFormat="1" hidden="1" x14ac:dyDescent="0.25">
      <c r="A159" s="6">
        <f>SAP!A184</f>
        <v>785924</v>
      </c>
      <c r="B159" s="6" t="str">
        <f>SAP!B184</f>
        <v>Zasuwn. KSR 1290/563 1V D50 PIN</v>
      </c>
      <c r="C159" s="6">
        <f>C156</f>
        <v>2237</v>
      </c>
      <c r="D159" s="6">
        <v>1201</v>
      </c>
      <c r="E159" s="6">
        <v>1600</v>
      </c>
      <c r="F159" s="16">
        <f t="shared" si="19"/>
        <v>0</v>
      </c>
      <c r="G159" s="6">
        <f t="shared" si="17"/>
        <v>0</v>
      </c>
      <c r="H159" s="6">
        <v>1</v>
      </c>
      <c r="I159" s="6">
        <f t="shared" si="18"/>
        <v>0</v>
      </c>
    </row>
    <row r="160" spans="1:9" s="6" customFormat="1" hidden="1" x14ac:dyDescent="0.25">
      <c r="A160" s="6">
        <f>SAP!A185</f>
        <v>785926</v>
      </c>
      <c r="B160" s="6" t="str">
        <f>SAP!B185</f>
        <v>Zasuwn. KSR 1690/563 1V D50 PIN</v>
      </c>
      <c r="C160" s="6">
        <f>C156</f>
        <v>2237</v>
      </c>
      <c r="D160" s="6">
        <v>1601</v>
      </c>
      <c r="E160" s="6">
        <v>1800</v>
      </c>
      <c r="F160" s="16">
        <f t="shared" si="19"/>
        <v>0</v>
      </c>
      <c r="G160" s="6">
        <f t="shared" si="17"/>
        <v>0</v>
      </c>
      <c r="H160" s="6">
        <v>1</v>
      </c>
      <c r="I160" s="6">
        <f t="shared" si="18"/>
        <v>0</v>
      </c>
    </row>
    <row r="161" spans="1:13" s="6" customFormat="1" hidden="1" x14ac:dyDescent="0.25">
      <c r="A161" s="6">
        <f>SAP!A186</f>
        <v>785927</v>
      </c>
      <c r="B161" s="6" t="str">
        <f>SAP!B186</f>
        <v>Zasuwn. KSR 1890/1000 2V D50 PIN</v>
      </c>
      <c r="C161" s="6">
        <f>C156</f>
        <v>2237</v>
      </c>
      <c r="D161" s="6">
        <v>1801</v>
      </c>
      <c r="E161" s="6">
        <v>2400</v>
      </c>
      <c r="F161" s="16">
        <f t="shared" si="19"/>
        <v>1</v>
      </c>
      <c r="G161" s="6">
        <f t="shared" si="17"/>
        <v>785927</v>
      </c>
      <c r="H161" s="6">
        <v>2</v>
      </c>
      <c r="I161" s="6">
        <f t="shared" si="18"/>
        <v>2</v>
      </c>
    </row>
    <row r="162" spans="1:13" s="6" customFormat="1" hidden="1" x14ac:dyDescent="0.25">
      <c r="A162" s="6">
        <f>SAP!A187</f>
        <v>785929</v>
      </c>
      <c r="B162" s="6" t="str">
        <f>SAP!B187</f>
        <v>Zasuwn. KSR 2290/1000 2V D50 PIN</v>
      </c>
      <c r="C162" s="6">
        <f>C156</f>
        <v>2237</v>
      </c>
      <c r="D162" s="6">
        <v>2401</v>
      </c>
      <c r="E162" s="6">
        <v>2500</v>
      </c>
      <c r="F162" s="16">
        <f t="shared" si="19"/>
        <v>0</v>
      </c>
      <c r="G162" s="6">
        <f t="shared" si="17"/>
        <v>0</v>
      </c>
      <c r="H162" s="6">
        <v>2</v>
      </c>
      <c r="I162" s="6">
        <f t="shared" si="18"/>
        <v>0</v>
      </c>
    </row>
    <row r="163" spans="1:13" s="6" customFormat="1" hidden="1" x14ac:dyDescent="0.25">
      <c r="A163" s="6" t="s">
        <v>28</v>
      </c>
      <c r="F163" s="17">
        <f>SUM(F156:F162)</f>
        <v>1</v>
      </c>
      <c r="G163" s="11">
        <f>SUM(G156:G162)</f>
        <v>785927</v>
      </c>
      <c r="I163" s="18">
        <f>SUM(I156:I162)</f>
        <v>2</v>
      </c>
    </row>
    <row r="164" spans="1:13" s="6" customFormat="1" hidden="1" x14ac:dyDescent="0.25">
      <c r="C164" s="11">
        <f>IF(C166=1,G163,IF(C166=2,G172))</f>
        <v>785927</v>
      </c>
      <c r="D164" s="6" t="s">
        <v>52</v>
      </c>
      <c r="E164" s="11">
        <f>IF(C166=1,I163+2,IF(C166=2,I172+2))-C126</f>
        <v>3</v>
      </c>
      <c r="J164" s="29">
        <f>IF(F166=1,G163,IF(F166=2,G172))</f>
        <v>785927</v>
      </c>
    </row>
    <row r="165" spans="1:13" s="6" customFormat="1" hidden="1" x14ac:dyDescent="0.25">
      <c r="B165" s="5" t="str">
        <f>SAP!A108</f>
        <v>Zasuwnica  bez wkładki bębenkowej</v>
      </c>
      <c r="C165" s="5"/>
    </row>
    <row r="166" spans="1:13" s="6" customFormat="1" hidden="1" x14ac:dyDescent="0.25">
      <c r="B166" s="5" t="str">
        <f>SAP!A109</f>
        <v>Zasuwnica z dodatkową wkładką bębenkową</v>
      </c>
      <c r="C166" s="11">
        <v>1</v>
      </c>
      <c r="D166" s="5" t="s">
        <v>230</v>
      </c>
      <c r="E166" s="5"/>
      <c r="F166" s="11">
        <v>1</v>
      </c>
      <c r="J166" s="6" t="b">
        <f>IF(C166=2,1)</f>
        <v>0</v>
      </c>
      <c r="K166" s="6">
        <f>IF(C106&lt;=1800,1,IF(C106&gt;=1801,0))</f>
        <v>0</v>
      </c>
      <c r="L166" s="6">
        <f>K166*J166</f>
        <v>0</v>
      </c>
      <c r="M166" s="6" t="str">
        <f>IF(L166=0,"",IF(L166=1,"Uwaga! Zasuwnica z dodatkową wkładką tylko dla FFH powyżej 1801mm"))</f>
        <v/>
      </c>
    </row>
    <row r="167" spans="1:13" s="6" customFormat="1" hidden="1" x14ac:dyDescent="0.25">
      <c r="C167" s="6" t="s">
        <v>3</v>
      </c>
      <c r="D167" s="6" t="s">
        <v>1</v>
      </c>
      <c r="E167" s="6" t="s">
        <v>2</v>
      </c>
      <c r="F167" s="16" t="s">
        <v>4</v>
      </c>
      <c r="G167" s="6" t="s">
        <v>5</v>
      </c>
      <c r="H167" s="6" t="s">
        <v>6</v>
      </c>
    </row>
    <row r="168" spans="1:13" s="6" customFormat="1" hidden="1" x14ac:dyDescent="0.25">
      <c r="A168" s="6">
        <v>798218</v>
      </c>
      <c r="B168" s="6" t="str">
        <f>VLOOKUP(A168,SAP!1:1048576,2,FALSE)</f>
        <v>Zasuwn. KSR +PZ 1890/1000 2V D50 PIN</v>
      </c>
      <c r="C168" s="6">
        <f>C106</f>
        <v>2237</v>
      </c>
      <c r="D168" s="6">
        <v>1801</v>
      </c>
      <c r="E168" s="6">
        <v>2000</v>
      </c>
      <c r="F168" s="16">
        <f>IF(C168&lt;D168,0,IF(C168&lt;=E168,1,IF(C168&gt;E168,0)))</f>
        <v>0</v>
      </c>
      <c r="G168" s="6">
        <f>A168*F168</f>
        <v>0</v>
      </c>
      <c r="H168" s="6">
        <v>2</v>
      </c>
      <c r="I168" s="6">
        <f>F168*H168</f>
        <v>0</v>
      </c>
    </row>
    <row r="169" spans="1:13" s="6" customFormat="1" hidden="1" x14ac:dyDescent="0.25">
      <c r="A169" s="6">
        <v>798218</v>
      </c>
      <c r="B169" s="6" t="str">
        <f>VLOOKUP(A169,SAP!1:1048576,2,FALSE)</f>
        <v>Zasuwn. KSR +PZ 1890/1000 2V D50 PIN</v>
      </c>
      <c r="C169" s="6">
        <f>C168</f>
        <v>2237</v>
      </c>
      <c r="D169" s="6">
        <v>2001</v>
      </c>
      <c r="E169" s="6">
        <v>2200</v>
      </c>
      <c r="F169" s="16">
        <f>IF(C169&lt;D169,0,IF(C169&lt;=E169,1,IF(C169&gt;E169,0)))</f>
        <v>0</v>
      </c>
      <c r="G169" s="6">
        <f>A169*F169</f>
        <v>0</v>
      </c>
      <c r="H169" s="6">
        <v>2</v>
      </c>
      <c r="I169" s="6">
        <f>F169*H169</f>
        <v>0</v>
      </c>
    </row>
    <row r="170" spans="1:13" s="6" customFormat="1" hidden="1" x14ac:dyDescent="0.25">
      <c r="A170" s="6">
        <v>798218</v>
      </c>
      <c r="B170" s="6" t="str">
        <f>VLOOKUP(A170,SAP!1:1048576,2,FALSE)</f>
        <v>Zasuwn. KSR +PZ 1890/1000 2V D50 PIN</v>
      </c>
      <c r="C170" s="6">
        <f>C168</f>
        <v>2237</v>
      </c>
      <c r="D170" s="6">
        <v>2201</v>
      </c>
      <c r="E170" s="6">
        <v>2400</v>
      </c>
      <c r="F170" s="16">
        <f>IF(C170&lt;D170,0,IF(C170&lt;=E170,1,IF(C170&gt;E170,0)))</f>
        <v>1</v>
      </c>
      <c r="G170" s="6">
        <f>A170*F170</f>
        <v>798218</v>
      </c>
      <c r="H170" s="6">
        <v>2</v>
      </c>
      <c r="I170" s="6">
        <f>F170*H170</f>
        <v>2</v>
      </c>
    </row>
    <row r="171" spans="1:13" s="6" customFormat="1" hidden="1" x14ac:dyDescent="0.25">
      <c r="A171" s="6">
        <v>798219</v>
      </c>
      <c r="B171" s="6" t="str">
        <f>VLOOKUP(A171,SAP!1:1048576,2,FALSE)</f>
        <v>Zasuwn. KSR +PZ 2290/1000 2V D50 PIN</v>
      </c>
      <c r="C171" s="6">
        <f>C168</f>
        <v>2237</v>
      </c>
      <c r="D171" s="6">
        <v>2401</v>
      </c>
      <c r="E171" s="6">
        <v>2500</v>
      </c>
      <c r="F171" s="16">
        <f>IF(C171&lt;D171,0,IF(C171&lt;=E171,1,IF(C171&gt;E171,0)))</f>
        <v>0</v>
      </c>
      <c r="G171" s="6">
        <f>A171*F171</f>
        <v>0</v>
      </c>
      <c r="H171" s="6">
        <v>2</v>
      </c>
      <c r="I171" s="6">
        <f>F171*H171</f>
        <v>0</v>
      </c>
    </row>
    <row r="172" spans="1:13" s="6" customFormat="1" hidden="1" x14ac:dyDescent="0.25">
      <c r="A172" s="6" t="s">
        <v>27</v>
      </c>
      <c r="F172" s="17">
        <f>SUM(F168:F171)</f>
        <v>1</v>
      </c>
      <c r="G172" s="11">
        <f>SUM(G168:G171)</f>
        <v>798218</v>
      </c>
      <c r="I172" s="18">
        <f>SUM(I168:I171)</f>
        <v>2</v>
      </c>
    </row>
    <row r="173" spans="1:13" s="6" customFormat="1" hidden="1" x14ac:dyDescent="0.25">
      <c r="A173" s="6" t="s">
        <v>1267</v>
      </c>
      <c r="C173" s="6" t="s">
        <v>3</v>
      </c>
      <c r="D173" s="6" t="s">
        <v>1</v>
      </c>
      <c r="E173" s="6" t="s">
        <v>2</v>
      </c>
      <c r="F173" s="16" t="s">
        <v>4</v>
      </c>
      <c r="G173" s="6" t="s">
        <v>5</v>
      </c>
      <c r="H173" s="6" t="s">
        <v>6</v>
      </c>
    </row>
    <row r="174" spans="1:13" s="6" customFormat="1" hidden="1" x14ac:dyDescent="0.25">
      <c r="A174" s="6">
        <v>799045</v>
      </c>
      <c r="B174" s="6" t="s">
        <v>210</v>
      </c>
      <c r="C174" s="6">
        <f>C106</f>
        <v>2237</v>
      </c>
      <c r="D174" s="6">
        <v>600</v>
      </c>
      <c r="E174" s="6">
        <v>800</v>
      </c>
      <c r="F174" s="16">
        <f>IF(C174&lt;D174,0,IF(C174&lt;=E174,1,IF(C174&gt;E174,0)))</f>
        <v>0</v>
      </c>
      <c r="G174" s="6">
        <f t="shared" ref="G174:G180" si="20">A174*F174</f>
        <v>0</v>
      </c>
      <c r="H174" s="6">
        <v>0</v>
      </c>
      <c r="I174" s="6">
        <f t="shared" ref="I174:I180" si="21">F174*H174</f>
        <v>0</v>
      </c>
    </row>
    <row r="175" spans="1:13" s="6" customFormat="1" hidden="1" x14ac:dyDescent="0.25">
      <c r="A175" s="6">
        <v>798027</v>
      </c>
      <c r="B175" s="6" t="s">
        <v>211</v>
      </c>
      <c r="C175" s="6">
        <f>C174</f>
        <v>2237</v>
      </c>
      <c r="D175" s="6">
        <v>801</v>
      </c>
      <c r="E175" s="6">
        <v>1000</v>
      </c>
      <c r="F175" s="16">
        <f t="shared" ref="F175:F180" si="22">IF(C175&lt;D175,0,IF(C175&lt;=E175,1,IF(C175&gt;E175,0)))</f>
        <v>0</v>
      </c>
      <c r="G175" s="6">
        <f t="shared" si="20"/>
        <v>0</v>
      </c>
      <c r="H175" s="6">
        <v>0</v>
      </c>
      <c r="I175" s="6">
        <f t="shared" si="21"/>
        <v>0</v>
      </c>
    </row>
    <row r="176" spans="1:13" s="6" customFormat="1" hidden="1" x14ac:dyDescent="0.25">
      <c r="A176" s="6">
        <v>798028</v>
      </c>
      <c r="B176" s="6" t="s">
        <v>212</v>
      </c>
      <c r="C176" s="6">
        <f>C174</f>
        <v>2237</v>
      </c>
      <c r="D176" s="6">
        <v>1001</v>
      </c>
      <c r="E176" s="6">
        <v>1200</v>
      </c>
      <c r="F176" s="16">
        <f t="shared" si="22"/>
        <v>0</v>
      </c>
      <c r="G176" s="6">
        <f t="shared" si="20"/>
        <v>0</v>
      </c>
      <c r="H176" s="6">
        <v>1</v>
      </c>
      <c r="I176" s="6">
        <f t="shared" si="21"/>
        <v>0</v>
      </c>
    </row>
    <row r="177" spans="1:10" s="6" customFormat="1" hidden="1" x14ac:dyDescent="0.25">
      <c r="A177" s="6">
        <v>798030</v>
      </c>
      <c r="B177" s="6" t="s">
        <v>213</v>
      </c>
      <c r="C177" s="6">
        <f>C174</f>
        <v>2237</v>
      </c>
      <c r="D177" s="6">
        <v>1201</v>
      </c>
      <c r="E177" s="6">
        <v>1600</v>
      </c>
      <c r="F177" s="16">
        <f t="shared" si="22"/>
        <v>0</v>
      </c>
      <c r="G177" s="6">
        <f t="shared" si="20"/>
        <v>0</v>
      </c>
      <c r="H177" s="6">
        <v>1</v>
      </c>
      <c r="I177" s="6">
        <f t="shared" si="21"/>
        <v>0</v>
      </c>
    </row>
    <row r="178" spans="1:10" s="6" customFormat="1" hidden="1" x14ac:dyDescent="0.25">
      <c r="A178" s="6">
        <v>798031</v>
      </c>
      <c r="B178" s="6" t="s">
        <v>214</v>
      </c>
      <c r="C178" s="6">
        <f>C174</f>
        <v>2237</v>
      </c>
      <c r="D178" s="6">
        <v>1601</v>
      </c>
      <c r="E178" s="6">
        <v>1800</v>
      </c>
      <c r="F178" s="16">
        <f t="shared" si="22"/>
        <v>0</v>
      </c>
      <c r="G178" s="6">
        <f t="shared" si="20"/>
        <v>0</v>
      </c>
      <c r="H178" s="6">
        <v>1</v>
      </c>
      <c r="I178" s="6">
        <f t="shared" si="21"/>
        <v>0</v>
      </c>
    </row>
    <row r="179" spans="1:10" s="6" customFormat="1" hidden="1" x14ac:dyDescent="0.25">
      <c r="A179" s="6">
        <v>798032</v>
      </c>
      <c r="B179" s="6" t="s">
        <v>215</v>
      </c>
      <c r="C179" s="6">
        <f>C174</f>
        <v>2237</v>
      </c>
      <c r="D179" s="6">
        <v>1801</v>
      </c>
      <c r="E179" s="6">
        <v>2400</v>
      </c>
      <c r="F179" s="16">
        <f t="shared" si="22"/>
        <v>1</v>
      </c>
      <c r="G179" s="6">
        <f t="shared" si="20"/>
        <v>798032</v>
      </c>
      <c r="H179" s="6">
        <v>2</v>
      </c>
      <c r="I179" s="6">
        <f t="shared" si="21"/>
        <v>2</v>
      </c>
    </row>
    <row r="180" spans="1:10" s="6" customFormat="1" hidden="1" x14ac:dyDescent="0.25">
      <c r="A180" s="6">
        <v>798033</v>
      </c>
      <c r="B180" s="6" t="s">
        <v>216</v>
      </c>
      <c r="C180" s="6">
        <f>C174</f>
        <v>2237</v>
      </c>
      <c r="D180" s="6">
        <v>2401</v>
      </c>
      <c r="E180" s="6">
        <v>2500</v>
      </c>
      <c r="F180" s="16">
        <f t="shared" si="22"/>
        <v>0</v>
      </c>
      <c r="G180" s="6">
        <f t="shared" si="20"/>
        <v>0</v>
      </c>
      <c r="H180" s="6">
        <v>2</v>
      </c>
      <c r="I180" s="6">
        <f t="shared" si="21"/>
        <v>0</v>
      </c>
    </row>
    <row r="181" spans="1:10" s="6" customFormat="1" hidden="1" x14ac:dyDescent="0.25">
      <c r="F181" s="17">
        <f>SUM(F174:F180)</f>
        <v>1</v>
      </c>
      <c r="G181" s="11">
        <f>SUM(G174:G180)</f>
        <v>798032</v>
      </c>
      <c r="I181" s="18">
        <f>SUM(I174:I180)</f>
        <v>2</v>
      </c>
    </row>
    <row r="182" spans="1:10" s="6" customFormat="1" hidden="1" x14ac:dyDescent="0.25">
      <c r="C182" s="11">
        <f>IF(C166=1,G181,IF(C166=2,G210))</f>
        <v>798032</v>
      </c>
      <c r="D182" s="6" t="s">
        <v>52</v>
      </c>
      <c r="E182" s="11"/>
      <c r="J182" s="11">
        <f>IF(F166=1,G181,IF(F166=2,G210))</f>
        <v>798032</v>
      </c>
    </row>
    <row r="183" spans="1:10" s="6" customFormat="1" hidden="1" x14ac:dyDescent="0.25">
      <c r="A183" s="15" t="s">
        <v>1402</v>
      </c>
      <c r="C183" s="6" t="s">
        <v>3</v>
      </c>
      <c r="D183" s="6" t="s">
        <v>1</v>
      </c>
      <c r="E183" s="6" t="s">
        <v>2</v>
      </c>
      <c r="F183" s="16" t="s">
        <v>4</v>
      </c>
      <c r="G183" s="6" t="s">
        <v>5</v>
      </c>
      <c r="H183" s="6" t="s">
        <v>6</v>
      </c>
    </row>
    <row r="184" spans="1:10" s="6" customFormat="1" hidden="1" x14ac:dyDescent="0.25">
      <c r="A184" s="6">
        <v>799045</v>
      </c>
      <c r="B184" s="6" t="s">
        <v>210</v>
      </c>
      <c r="C184" s="6">
        <f>C106</f>
        <v>2237</v>
      </c>
      <c r="D184" s="6">
        <v>600</v>
      </c>
      <c r="E184" s="6">
        <v>800</v>
      </c>
      <c r="F184" s="16">
        <f>IF(C184&lt;D184,0,IF(C184&lt;=E184,1,IF(C184&gt;E184,0)))</f>
        <v>0</v>
      </c>
      <c r="G184" s="6">
        <f t="shared" ref="G184:G190" si="23">A184*F184</f>
        <v>0</v>
      </c>
      <c r="H184" s="6">
        <v>0</v>
      </c>
      <c r="I184" s="6">
        <f t="shared" ref="I184:I190" si="24">F184*H184</f>
        <v>0</v>
      </c>
    </row>
    <row r="185" spans="1:10" s="6" customFormat="1" hidden="1" x14ac:dyDescent="0.25">
      <c r="A185" s="6">
        <v>798027</v>
      </c>
      <c r="B185" s="6" t="s">
        <v>211</v>
      </c>
      <c r="C185" s="6">
        <f>C184</f>
        <v>2237</v>
      </c>
      <c r="D185" s="6">
        <v>801</v>
      </c>
      <c r="E185" s="6">
        <v>1000</v>
      </c>
      <c r="F185" s="16">
        <f t="shared" ref="F185:F190" si="25">IF(C185&lt;D185,0,IF(C185&lt;=E185,1,IF(C185&gt;E185,0)))</f>
        <v>0</v>
      </c>
      <c r="G185" s="6">
        <f t="shared" si="23"/>
        <v>0</v>
      </c>
      <c r="H185" s="6">
        <v>0</v>
      </c>
      <c r="I185" s="6">
        <f t="shared" si="24"/>
        <v>0</v>
      </c>
    </row>
    <row r="186" spans="1:10" s="6" customFormat="1" hidden="1" x14ac:dyDescent="0.25">
      <c r="A186" s="6">
        <v>809658</v>
      </c>
      <c r="B186" s="6" t="s">
        <v>1259</v>
      </c>
      <c r="C186" s="6">
        <f>C184</f>
        <v>2237</v>
      </c>
      <c r="D186" s="6">
        <v>1001</v>
      </c>
      <c r="E186" s="6">
        <v>1200</v>
      </c>
      <c r="F186" s="16">
        <f t="shared" si="25"/>
        <v>0</v>
      </c>
      <c r="G186" s="6">
        <f t="shared" si="23"/>
        <v>0</v>
      </c>
      <c r="H186" s="6">
        <v>1</v>
      </c>
      <c r="I186" s="6">
        <f t="shared" si="24"/>
        <v>0</v>
      </c>
    </row>
    <row r="187" spans="1:10" s="6" customFormat="1" hidden="1" x14ac:dyDescent="0.25">
      <c r="A187" s="6">
        <v>809662</v>
      </c>
      <c r="B187" s="6" t="s">
        <v>1260</v>
      </c>
      <c r="C187" s="6">
        <f>C184</f>
        <v>2237</v>
      </c>
      <c r="D187" s="6">
        <v>1201</v>
      </c>
      <c r="E187" s="6">
        <v>1600</v>
      </c>
      <c r="F187" s="16">
        <f t="shared" si="25"/>
        <v>0</v>
      </c>
      <c r="G187" s="6">
        <f t="shared" si="23"/>
        <v>0</v>
      </c>
      <c r="H187" s="6">
        <v>1</v>
      </c>
      <c r="I187" s="6">
        <f t="shared" si="24"/>
        <v>0</v>
      </c>
    </row>
    <row r="188" spans="1:10" s="6" customFormat="1" hidden="1" x14ac:dyDescent="0.25">
      <c r="A188" s="6">
        <v>809668</v>
      </c>
      <c r="B188" s="6" t="s">
        <v>1261</v>
      </c>
      <c r="C188" s="6">
        <f>C184</f>
        <v>2237</v>
      </c>
      <c r="D188" s="6">
        <v>1601</v>
      </c>
      <c r="E188" s="6">
        <v>1800</v>
      </c>
      <c r="F188" s="16">
        <f t="shared" si="25"/>
        <v>0</v>
      </c>
      <c r="G188" s="6">
        <f t="shared" si="23"/>
        <v>0</v>
      </c>
      <c r="H188" s="6">
        <v>1</v>
      </c>
      <c r="I188" s="6">
        <f t="shared" si="24"/>
        <v>0</v>
      </c>
    </row>
    <row r="189" spans="1:10" s="6" customFormat="1" hidden="1" x14ac:dyDescent="0.25">
      <c r="A189" s="6">
        <v>809669</v>
      </c>
      <c r="B189" s="6" t="s">
        <v>1262</v>
      </c>
      <c r="C189" s="6">
        <f>C184</f>
        <v>2237</v>
      </c>
      <c r="D189" s="6">
        <v>1801</v>
      </c>
      <c r="E189" s="6">
        <v>2400</v>
      </c>
      <c r="F189" s="16">
        <f t="shared" si="25"/>
        <v>1</v>
      </c>
      <c r="G189" s="6">
        <f t="shared" si="23"/>
        <v>809669</v>
      </c>
      <c r="H189" s="6">
        <v>2</v>
      </c>
      <c r="I189" s="6">
        <f t="shared" si="24"/>
        <v>2</v>
      </c>
    </row>
    <row r="190" spans="1:10" s="6" customFormat="1" hidden="1" x14ac:dyDescent="0.25">
      <c r="A190" s="6">
        <v>809653</v>
      </c>
      <c r="B190" s="6" t="s">
        <v>1258</v>
      </c>
      <c r="C190" s="6">
        <f>C184</f>
        <v>2237</v>
      </c>
      <c r="D190" s="6">
        <v>2401</v>
      </c>
      <c r="E190" s="6">
        <v>2500</v>
      </c>
      <c r="F190" s="16">
        <f t="shared" si="25"/>
        <v>0</v>
      </c>
      <c r="G190" s="6">
        <f t="shared" si="23"/>
        <v>0</v>
      </c>
      <c r="H190" s="6">
        <v>2</v>
      </c>
      <c r="I190" s="6">
        <f t="shared" si="24"/>
        <v>0</v>
      </c>
    </row>
    <row r="191" spans="1:10" s="6" customFormat="1" hidden="1" x14ac:dyDescent="0.25">
      <c r="F191" s="17">
        <f>SUM(F184:F190)</f>
        <v>1</v>
      </c>
      <c r="G191" s="11">
        <f>SUM(G184:G190)</f>
        <v>809669</v>
      </c>
      <c r="I191" s="18">
        <f>SUM(I184:I190)</f>
        <v>2</v>
      </c>
    </row>
    <row r="192" spans="1:10" s="6" customFormat="1" hidden="1" x14ac:dyDescent="0.25"/>
    <row r="193" spans="1:9" s="6" customFormat="1" hidden="1" x14ac:dyDescent="0.25">
      <c r="A193" s="15" t="s">
        <v>1403</v>
      </c>
      <c r="C193" s="6" t="s">
        <v>3</v>
      </c>
      <c r="D193" s="6" t="s">
        <v>1</v>
      </c>
      <c r="E193" s="6" t="s">
        <v>2</v>
      </c>
      <c r="F193" s="16" t="s">
        <v>4</v>
      </c>
      <c r="G193" s="6" t="s">
        <v>5</v>
      </c>
      <c r="H193" s="6" t="s">
        <v>6</v>
      </c>
    </row>
    <row r="194" spans="1:9" s="6" customFormat="1" hidden="1" x14ac:dyDescent="0.25">
      <c r="A194" s="67">
        <v>793942</v>
      </c>
      <c r="B194" s="6" t="str">
        <f>VLOOKUP(A194,SAP!$A$439:$G$445,2,0)</f>
        <v>Zasuwn. NT R/U KSR 690/600-800 D25 PIN</v>
      </c>
      <c r="C194" s="6">
        <f>C106</f>
        <v>2237</v>
      </c>
      <c r="D194" s="6">
        <v>600</v>
      </c>
      <c r="E194" s="6">
        <v>800</v>
      </c>
      <c r="F194" s="16">
        <f>IF(C194&lt;D194,0,IF(C194&lt;=E194,1,IF(C194&gt;E194,0)))</f>
        <v>0</v>
      </c>
      <c r="G194" s="6">
        <f t="shared" ref="G194:G200" si="26">A194*F194</f>
        <v>0</v>
      </c>
      <c r="H194" s="6">
        <v>0</v>
      </c>
      <c r="I194" s="6">
        <f t="shared" ref="I194:I200" si="27">F194*H194</f>
        <v>0</v>
      </c>
    </row>
    <row r="195" spans="1:9" s="6" customFormat="1" hidden="1" x14ac:dyDescent="0.25">
      <c r="A195" s="67">
        <v>793943</v>
      </c>
      <c r="B195" s="6" t="str">
        <f>VLOOKUP(A195,SAP!$A$439:$G$445,2,0)</f>
        <v>Zasuwn. NT R/U KSR 890/801-1000 D25 PIN</v>
      </c>
      <c r="C195" s="6">
        <f>C194</f>
        <v>2237</v>
      </c>
      <c r="D195" s="6">
        <v>801</v>
      </c>
      <c r="E195" s="6">
        <v>1000</v>
      </c>
      <c r="F195" s="16">
        <f t="shared" ref="F195:F200" si="28">IF(C195&lt;D195,0,IF(C195&lt;=E195,1,IF(C195&gt;E195,0)))</f>
        <v>0</v>
      </c>
      <c r="G195" s="6">
        <f t="shared" si="26"/>
        <v>0</v>
      </c>
      <c r="H195" s="6">
        <v>0</v>
      </c>
      <c r="I195" s="6">
        <f t="shared" si="27"/>
        <v>0</v>
      </c>
    </row>
    <row r="196" spans="1:9" s="6" customFormat="1" hidden="1" x14ac:dyDescent="0.25">
      <c r="A196" s="67">
        <v>809691</v>
      </c>
      <c r="B196" s="6" t="str">
        <f>VLOOKUP(A196,SAP!$A$439:$G$445,2,0)</f>
        <v>Zasuwn. KSR 1001-1200 D25 bez zacz. PIN</v>
      </c>
      <c r="C196" s="6">
        <f>C194</f>
        <v>2237</v>
      </c>
      <c r="D196" s="6">
        <v>1001</v>
      </c>
      <c r="E196" s="6">
        <v>1200</v>
      </c>
      <c r="F196" s="16">
        <f t="shared" si="28"/>
        <v>0</v>
      </c>
      <c r="G196" s="6">
        <f t="shared" si="26"/>
        <v>0</v>
      </c>
      <c r="H196" s="6">
        <v>1</v>
      </c>
      <c r="I196" s="6">
        <f t="shared" si="27"/>
        <v>0</v>
      </c>
    </row>
    <row r="197" spans="1:9" s="6" customFormat="1" hidden="1" x14ac:dyDescent="0.25">
      <c r="A197" s="67">
        <v>809692</v>
      </c>
      <c r="B197" s="6" t="str">
        <f>VLOOKUP(A197,SAP!$A$439:$G$445,2,0)</f>
        <v>Zasuwn. KSR 1201-1600 D25 bez zacz. PIN</v>
      </c>
      <c r="C197" s="6">
        <f>C194</f>
        <v>2237</v>
      </c>
      <c r="D197" s="6">
        <v>1201</v>
      </c>
      <c r="E197" s="6">
        <v>1600</v>
      </c>
      <c r="F197" s="16">
        <f t="shared" si="28"/>
        <v>0</v>
      </c>
      <c r="G197" s="6">
        <f t="shared" si="26"/>
        <v>0</v>
      </c>
      <c r="H197" s="6">
        <v>1</v>
      </c>
      <c r="I197" s="6">
        <f t="shared" si="27"/>
        <v>0</v>
      </c>
    </row>
    <row r="198" spans="1:9" s="6" customFormat="1" hidden="1" x14ac:dyDescent="0.25">
      <c r="A198" s="67">
        <v>809694</v>
      </c>
      <c r="B198" s="6" t="str">
        <f>VLOOKUP(A198,SAP!$A$439:$G$445,2,0)</f>
        <v>Zasuwn. KSR 1601-1800 D25 bez zacz. PIN</v>
      </c>
      <c r="C198" s="6">
        <f>C194</f>
        <v>2237</v>
      </c>
      <c r="D198" s="6">
        <v>1601</v>
      </c>
      <c r="E198" s="6">
        <v>1800</v>
      </c>
      <c r="F198" s="16">
        <f t="shared" si="28"/>
        <v>0</v>
      </c>
      <c r="G198" s="6">
        <f t="shared" si="26"/>
        <v>0</v>
      </c>
      <c r="H198" s="6">
        <v>1</v>
      </c>
      <c r="I198" s="6">
        <f t="shared" si="27"/>
        <v>0</v>
      </c>
    </row>
    <row r="199" spans="1:9" s="6" customFormat="1" hidden="1" x14ac:dyDescent="0.25">
      <c r="A199" s="67">
        <v>809695</v>
      </c>
      <c r="B199" s="6" t="str">
        <f>VLOOKUP(A199,SAP!$A$439:$G$445,2,0)</f>
        <v>Zasuwn. KSR 1801-2400 D25 bez zacz. PIN</v>
      </c>
      <c r="C199" s="6">
        <f>C194</f>
        <v>2237</v>
      </c>
      <c r="D199" s="6">
        <v>1801</v>
      </c>
      <c r="E199" s="6">
        <v>2400</v>
      </c>
      <c r="F199" s="16">
        <f t="shared" si="28"/>
        <v>1</v>
      </c>
      <c r="G199" s="6">
        <f t="shared" si="26"/>
        <v>809695</v>
      </c>
      <c r="H199" s="6">
        <v>2</v>
      </c>
      <c r="I199" s="6">
        <f t="shared" si="27"/>
        <v>2</v>
      </c>
    </row>
    <row r="200" spans="1:9" s="6" customFormat="1" hidden="1" x14ac:dyDescent="0.25">
      <c r="A200" s="67">
        <v>809697</v>
      </c>
      <c r="B200" s="6" t="str">
        <f>VLOOKUP(A200,SAP!$A$439:$G$445,2,0)</f>
        <v>Zasuwn. KSR 2401-2500 D25 bez zacz. PIN</v>
      </c>
      <c r="C200" s="6">
        <f>C194</f>
        <v>2237</v>
      </c>
      <c r="D200" s="6">
        <v>2401</v>
      </c>
      <c r="E200" s="6">
        <v>2500</v>
      </c>
      <c r="F200" s="16">
        <f t="shared" si="28"/>
        <v>0</v>
      </c>
      <c r="G200" s="6">
        <f t="shared" si="26"/>
        <v>0</v>
      </c>
      <c r="H200" s="6">
        <v>2</v>
      </c>
      <c r="I200" s="6">
        <f t="shared" si="27"/>
        <v>0</v>
      </c>
    </row>
    <row r="201" spans="1:9" s="6" customFormat="1" hidden="1" x14ac:dyDescent="0.25">
      <c r="F201" s="17">
        <f>SUM(F194:F200)</f>
        <v>1</v>
      </c>
      <c r="G201" s="11">
        <f>SUM(G194:G200)</f>
        <v>809695</v>
      </c>
      <c r="I201" s="18">
        <f>SUM(I194:I200)</f>
        <v>2</v>
      </c>
    </row>
    <row r="202" spans="1:9" s="6" customFormat="1" hidden="1" x14ac:dyDescent="0.25"/>
    <row r="203" spans="1:9" s="6" customFormat="1" hidden="1" x14ac:dyDescent="0.25"/>
    <row r="204" spans="1:9" s="6" customFormat="1" hidden="1" x14ac:dyDescent="0.25">
      <c r="C204" s="11"/>
    </row>
    <row r="205" spans="1:9" s="6" customFormat="1" hidden="1" x14ac:dyDescent="0.25">
      <c r="C205" s="6" t="s">
        <v>3</v>
      </c>
      <c r="D205" s="6" t="s">
        <v>1</v>
      </c>
      <c r="E205" s="6" t="s">
        <v>2</v>
      </c>
      <c r="F205" s="16" t="s">
        <v>4</v>
      </c>
      <c r="G205" s="6" t="s">
        <v>5</v>
      </c>
      <c r="H205" s="6" t="s">
        <v>6</v>
      </c>
    </row>
    <row r="206" spans="1:9" s="6" customFormat="1" hidden="1" x14ac:dyDescent="0.25">
      <c r="A206" s="6">
        <v>798034</v>
      </c>
      <c r="B206" s="6" t="s">
        <v>217</v>
      </c>
      <c r="C206" s="6">
        <f>C106</f>
        <v>2237</v>
      </c>
      <c r="D206" s="6">
        <v>1801</v>
      </c>
      <c r="E206" s="6">
        <v>2000</v>
      </c>
      <c r="F206" s="16">
        <f>IF(C206&lt;D206,0,IF(C206&lt;=E206,1,IF(C206&gt;E206,0)))</f>
        <v>0</v>
      </c>
      <c r="G206" s="6">
        <f>A206*F206</f>
        <v>0</v>
      </c>
      <c r="H206" s="6">
        <v>2</v>
      </c>
      <c r="I206" s="6">
        <f>F206*H206</f>
        <v>0</v>
      </c>
    </row>
    <row r="207" spans="1:9" s="6" customFormat="1" hidden="1" x14ac:dyDescent="0.25">
      <c r="A207" s="6">
        <v>798034</v>
      </c>
      <c r="B207" s="6" t="s">
        <v>217</v>
      </c>
      <c r="C207" s="6">
        <f>C206</f>
        <v>2237</v>
      </c>
      <c r="D207" s="6">
        <v>2001</v>
      </c>
      <c r="E207" s="6">
        <v>2200</v>
      </c>
      <c r="F207" s="16">
        <f>IF(C207&lt;D207,0,IF(C207&lt;=E207,1,IF(C207&gt;E207,0)))</f>
        <v>0</v>
      </c>
      <c r="G207" s="6">
        <f>A209*F207</f>
        <v>0</v>
      </c>
      <c r="H207" s="6">
        <v>2</v>
      </c>
      <c r="I207" s="6">
        <f>F207*H207</f>
        <v>0</v>
      </c>
    </row>
    <row r="208" spans="1:9" s="6" customFormat="1" hidden="1" x14ac:dyDescent="0.25">
      <c r="A208" s="6">
        <v>798034</v>
      </c>
      <c r="B208" s="6" t="s">
        <v>217</v>
      </c>
      <c r="C208" s="6">
        <f>C206</f>
        <v>2237</v>
      </c>
      <c r="D208" s="6">
        <v>2201</v>
      </c>
      <c r="E208" s="6">
        <v>2400</v>
      </c>
      <c r="F208" s="16">
        <f>IF(C208&lt;D208,0,IF(C208&lt;=E208,1,IF(C208&gt;E208,0)))</f>
        <v>1</v>
      </c>
      <c r="G208" s="6">
        <f>A208*F208</f>
        <v>798034</v>
      </c>
      <c r="H208" s="6">
        <v>2</v>
      </c>
      <c r="I208" s="6">
        <f>F208*H208</f>
        <v>2</v>
      </c>
    </row>
    <row r="209" spans="1:9" s="6" customFormat="1" hidden="1" x14ac:dyDescent="0.25">
      <c r="A209" s="6">
        <v>798055</v>
      </c>
      <c r="B209" s="6" t="s">
        <v>218</v>
      </c>
      <c r="C209" s="6">
        <f>C206</f>
        <v>2237</v>
      </c>
      <c r="D209" s="6">
        <v>2401</v>
      </c>
      <c r="E209" s="6">
        <v>2500</v>
      </c>
      <c r="F209" s="16">
        <f>IF(C209&lt;D209,0,IF(C209&lt;=E209,1,IF(C209&gt;E209,0)))</f>
        <v>0</v>
      </c>
      <c r="G209" s="6">
        <f>A209*F209</f>
        <v>0</v>
      </c>
      <c r="H209" s="6">
        <v>2</v>
      </c>
      <c r="I209" s="6">
        <f>F209*H209</f>
        <v>0</v>
      </c>
    </row>
    <row r="210" spans="1:9" s="6" customFormat="1" hidden="1" x14ac:dyDescent="0.25">
      <c r="F210" s="17">
        <f>SUM(F206:F209)</f>
        <v>1</v>
      </c>
      <c r="G210" s="11">
        <f>SUM(G206:G209)</f>
        <v>798034</v>
      </c>
      <c r="I210" s="18">
        <f>SUM(I206:I209)</f>
        <v>2</v>
      </c>
    </row>
    <row r="211" spans="1:9" s="6" customFormat="1" hidden="1" x14ac:dyDescent="0.25">
      <c r="I211" s="19"/>
    </row>
    <row r="212" spans="1:9" s="6" customFormat="1" hidden="1" x14ac:dyDescent="0.25">
      <c r="I212" s="19"/>
    </row>
    <row r="213" spans="1:9" s="6" customFormat="1" hidden="1" x14ac:dyDescent="0.25">
      <c r="I213" s="19"/>
    </row>
    <row r="214" spans="1:9" s="6" customFormat="1" hidden="1" x14ac:dyDescent="0.25">
      <c r="I214" s="19"/>
    </row>
    <row r="215" spans="1:9" s="6" customFormat="1" hidden="1" x14ac:dyDescent="0.25">
      <c r="I215" s="19"/>
    </row>
    <row r="216" spans="1:9" s="6" customFormat="1" hidden="1" x14ac:dyDescent="0.25">
      <c r="C216" s="6" t="s">
        <v>3</v>
      </c>
      <c r="D216" s="6" t="s">
        <v>1</v>
      </c>
      <c r="E216" s="6" t="s">
        <v>2</v>
      </c>
      <c r="F216" s="16" t="s">
        <v>4</v>
      </c>
      <c r="G216" s="6" t="s">
        <v>5</v>
      </c>
      <c r="I216" s="19"/>
    </row>
    <row r="217" spans="1:9" s="6" customFormat="1" hidden="1" x14ac:dyDescent="0.25">
      <c r="A217" s="6">
        <v>308267</v>
      </c>
      <c r="B217" s="6" t="str">
        <f>VLOOKUP(A217,SAP!1:1048576,2,FALSE)</f>
        <v>Zamkn. środ. 200 łącz NTi</v>
      </c>
      <c r="C217" s="6">
        <f>C106</f>
        <v>2237</v>
      </c>
      <c r="D217" s="6">
        <v>1401</v>
      </c>
      <c r="E217" s="6">
        <v>1600</v>
      </c>
      <c r="F217" s="16">
        <f>IF(C217&lt;D217,0,IF(C217&lt;=E217,1,IF(C217&gt;E217,0)))</f>
        <v>0</v>
      </c>
      <c r="G217" s="6">
        <f>A217*F217</f>
        <v>0</v>
      </c>
      <c r="I217" s="19"/>
    </row>
    <row r="218" spans="1:9" s="6" customFormat="1" hidden="1" x14ac:dyDescent="0.25">
      <c r="A218" s="6">
        <v>308267</v>
      </c>
      <c r="B218" s="6" t="str">
        <f>VLOOKUP(A218,'Schemat A'!1:1048576,2,FALSE)</f>
        <v>Zamkn. środ. 200 łącz NTi</v>
      </c>
      <c r="C218" s="6">
        <f>C106</f>
        <v>2237</v>
      </c>
      <c r="D218" s="6">
        <v>2001</v>
      </c>
      <c r="E218" s="6">
        <v>2200</v>
      </c>
      <c r="F218" s="16">
        <f>IF(C218&lt;D218,0,IF(C218&lt;=E218,1,IF(C218&gt;E218,0)))</f>
        <v>0</v>
      </c>
      <c r="G218" s="6">
        <f t="shared" ref="G218:G220" si="29">A218*F218</f>
        <v>0</v>
      </c>
      <c r="I218" s="19"/>
    </row>
    <row r="219" spans="1:9" s="6" customFormat="1" hidden="1" x14ac:dyDescent="0.25">
      <c r="A219" s="6">
        <v>297858</v>
      </c>
      <c r="B219" s="6" t="str">
        <f>VLOOKUP(A219,SAP!1:1048576,2,FALSE)</f>
        <v>Przedłużka zasuwn. NT MV400 bez zaczepu</v>
      </c>
      <c r="C219" s="6">
        <f>C106</f>
        <v>2237</v>
      </c>
      <c r="D219" s="6">
        <v>2201</v>
      </c>
      <c r="E219" s="6">
        <v>2400</v>
      </c>
      <c r="F219" s="16">
        <f>IF(C219&lt;D219,0,IF(C219&lt;=E219,1,IF(C219&gt;E219,0)))</f>
        <v>1</v>
      </c>
      <c r="G219" s="6">
        <f t="shared" si="29"/>
        <v>297858</v>
      </c>
      <c r="I219" s="19"/>
    </row>
    <row r="220" spans="1:9" s="6" customFormat="1" hidden="1" x14ac:dyDescent="0.25">
      <c r="A220" s="6">
        <v>308267</v>
      </c>
      <c r="B220" s="6" t="str">
        <f>VLOOKUP(A220,SAP!1:1048576,2,FALSE)</f>
        <v>Zamkn. środ. 200 łącz NTi</v>
      </c>
      <c r="C220" s="6">
        <f>C106</f>
        <v>2237</v>
      </c>
      <c r="D220" s="6">
        <v>2401</v>
      </c>
      <c r="E220" s="6">
        <v>2500</v>
      </c>
      <c r="F220" s="16">
        <f>IF(C220&lt;D220,0,IF(C220&lt;=E220,1,IF(C220&gt;E220,0)))</f>
        <v>0</v>
      </c>
      <c r="G220" s="6">
        <f t="shared" si="29"/>
        <v>0</v>
      </c>
      <c r="I220" s="19"/>
    </row>
    <row r="221" spans="1:9" s="6" customFormat="1" hidden="1" x14ac:dyDescent="0.25">
      <c r="F221" s="17">
        <f>SUM(F217:F220)</f>
        <v>1</v>
      </c>
      <c r="G221" s="11">
        <f>SUM(G217:G220)</f>
        <v>297858</v>
      </c>
      <c r="I221" s="19"/>
    </row>
    <row r="222" spans="1:9" s="6" customFormat="1" hidden="1" x14ac:dyDescent="0.25">
      <c r="I222" s="19"/>
    </row>
    <row r="223" spans="1:9" s="6" customFormat="1" hidden="1" x14ac:dyDescent="0.25">
      <c r="C223" s="6" t="s">
        <v>0</v>
      </c>
      <c r="D223" s="6" t="s">
        <v>1</v>
      </c>
      <c r="E223" s="6" t="s">
        <v>2</v>
      </c>
      <c r="F223" s="16" t="s">
        <v>4</v>
      </c>
      <c r="G223" s="6" t="s">
        <v>5</v>
      </c>
      <c r="H223" s="6" t="s">
        <v>6</v>
      </c>
    </row>
    <row r="224" spans="1:9" s="6" customFormat="1" hidden="1" x14ac:dyDescent="0.25">
      <c r="A224" s="6">
        <v>572665</v>
      </c>
      <c r="B224" s="6" t="str">
        <f>VLOOKUP(A224,SAP!1:1048576,2,FALSE)</f>
        <v>Łącznik M 344 1V NT</v>
      </c>
      <c r="C224" s="6">
        <f>D106</f>
        <v>1425</v>
      </c>
      <c r="D224" s="6">
        <v>710</v>
      </c>
      <c r="E224" s="6">
        <v>760</v>
      </c>
      <c r="F224" s="16">
        <f>IF(C224&lt;D224,0,IF(C224&lt;=E224,1,IF(C224&gt;E224,0)))</f>
        <v>0</v>
      </c>
      <c r="G224" s="6">
        <f t="shared" ref="G224:G229" si="30">A224*F224</f>
        <v>0</v>
      </c>
      <c r="H224" s="6">
        <v>1</v>
      </c>
      <c r="I224" s="6">
        <f t="shared" ref="I224:I229" si="31">H224*F224</f>
        <v>0</v>
      </c>
    </row>
    <row r="225" spans="1:21" s="6" customFormat="1" hidden="1" x14ac:dyDescent="0.25">
      <c r="A225" s="6">
        <v>245729</v>
      </c>
      <c r="B225" s="6" t="str">
        <f>VLOOKUP(A225,SAP!1:1048576,2,FALSE)</f>
        <v>Zamkn.śr.okien łuk. NT 501-700</v>
      </c>
      <c r="C225" s="6">
        <f>C224</f>
        <v>1425</v>
      </c>
      <c r="D225" s="6">
        <v>761</v>
      </c>
      <c r="E225" s="6">
        <v>860</v>
      </c>
      <c r="F225" s="16">
        <f t="shared" ref="F225:F229" si="32">IF(C225&lt;D225,0,IF(C225&lt;=E225,1,IF(C225&gt;E225,0)))</f>
        <v>0</v>
      </c>
      <c r="G225" s="6">
        <f t="shared" si="30"/>
        <v>0</v>
      </c>
      <c r="H225" s="6">
        <v>0</v>
      </c>
      <c r="I225" s="6">
        <f t="shared" si="31"/>
        <v>0</v>
      </c>
    </row>
    <row r="226" spans="1:21" s="6" customFormat="1" hidden="1" x14ac:dyDescent="0.25">
      <c r="A226" s="6">
        <v>603442</v>
      </c>
      <c r="B226" s="6" t="str">
        <f>VLOOKUP(A226,SAP!1:1048576,2,FALSE)</f>
        <v>Zamk. środkowe góra 600-800 NT ALV</v>
      </c>
      <c r="C226" s="6">
        <f>C225</f>
        <v>1425</v>
      </c>
      <c r="D226" s="6">
        <v>861</v>
      </c>
      <c r="E226" s="6">
        <v>1060</v>
      </c>
      <c r="F226" s="16">
        <f t="shared" si="32"/>
        <v>0</v>
      </c>
      <c r="G226" s="6">
        <f t="shared" si="30"/>
        <v>0</v>
      </c>
      <c r="H226" s="6">
        <v>0</v>
      </c>
      <c r="I226" s="6">
        <f t="shared" si="31"/>
        <v>0</v>
      </c>
    </row>
    <row r="227" spans="1:21" s="6" customFormat="1" hidden="1" x14ac:dyDescent="0.25">
      <c r="A227" s="6">
        <v>603444</v>
      </c>
      <c r="B227" s="6" t="str">
        <f>VLOOKUP(A227,SAP!1:1048576,2,FALSE)</f>
        <v>Zamk. środkowe góra 801-1000 NT ALV</v>
      </c>
      <c r="C227" s="6">
        <f t="shared" ref="C227:C229" si="33">C226</f>
        <v>1425</v>
      </c>
      <c r="D227" s="6">
        <v>1061</v>
      </c>
      <c r="E227" s="6">
        <v>1260</v>
      </c>
      <c r="F227" s="16">
        <f t="shared" si="32"/>
        <v>0</v>
      </c>
      <c r="G227" s="6">
        <f t="shared" si="30"/>
        <v>0</v>
      </c>
      <c r="H227" s="6">
        <v>1</v>
      </c>
      <c r="I227" s="6">
        <f t="shared" si="31"/>
        <v>0</v>
      </c>
    </row>
    <row r="228" spans="1:21" s="6" customFormat="1" hidden="1" x14ac:dyDescent="0.25">
      <c r="A228" s="6">
        <v>603447</v>
      </c>
      <c r="B228" s="6" t="str">
        <f>VLOOKUP(A228,SAP!1:1048576,2,FALSE)</f>
        <v>Zamk. środkowe góra 1001-1200 NT ALV</v>
      </c>
      <c r="C228" s="6">
        <f t="shared" si="33"/>
        <v>1425</v>
      </c>
      <c r="D228" s="6">
        <v>1261</v>
      </c>
      <c r="E228" s="6">
        <v>1460</v>
      </c>
      <c r="F228" s="16">
        <f t="shared" si="32"/>
        <v>1</v>
      </c>
      <c r="G228" s="6">
        <f t="shared" si="30"/>
        <v>603447</v>
      </c>
      <c r="H228" s="6">
        <v>1</v>
      </c>
      <c r="I228" s="6">
        <f t="shared" si="31"/>
        <v>1</v>
      </c>
    </row>
    <row r="229" spans="1:21" s="6" customFormat="1" hidden="1" x14ac:dyDescent="0.25">
      <c r="A229" s="6">
        <v>603462</v>
      </c>
      <c r="B229" s="6" t="str">
        <f>VLOOKUP(A229,SAP!1:1048576,2,FALSE)</f>
        <v>Zamk. środkowe góra 1201-1400 NT ALV</v>
      </c>
      <c r="C229" s="6">
        <f t="shared" si="33"/>
        <v>1425</v>
      </c>
      <c r="D229" s="6">
        <v>1461</v>
      </c>
      <c r="E229" s="6">
        <v>1500</v>
      </c>
      <c r="F229" s="16">
        <f t="shared" si="32"/>
        <v>0</v>
      </c>
      <c r="G229" s="6">
        <f t="shared" si="30"/>
        <v>0</v>
      </c>
      <c r="H229" s="6">
        <v>1</v>
      </c>
      <c r="I229" s="6">
        <f t="shared" si="31"/>
        <v>0</v>
      </c>
    </row>
    <row r="230" spans="1:21" s="6" customFormat="1" hidden="1" x14ac:dyDescent="0.25">
      <c r="A230" s="6" t="s">
        <v>27</v>
      </c>
      <c r="F230" s="17">
        <f>SUM(F224:F229)</f>
        <v>1</v>
      </c>
      <c r="G230" s="20">
        <f>SUM(G224:G229)</f>
        <v>603447</v>
      </c>
      <c r="I230" s="21">
        <f>SUM(I224:I229)</f>
        <v>1</v>
      </c>
    </row>
    <row r="231" spans="1:21" s="6" customFormat="1" hidden="1" x14ac:dyDescent="0.25"/>
    <row r="232" spans="1:21" s="6" customFormat="1" hidden="1" x14ac:dyDescent="0.25">
      <c r="A232" s="18"/>
      <c r="B232" s="18"/>
      <c r="C232" s="18" t="s">
        <v>3</v>
      </c>
      <c r="D232" s="18" t="s">
        <v>1</v>
      </c>
      <c r="E232" s="18" t="s">
        <v>2</v>
      </c>
      <c r="F232" s="22" t="s">
        <v>4</v>
      </c>
      <c r="G232" s="18" t="s">
        <v>5</v>
      </c>
      <c r="H232" s="18" t="s">
        <v>6</v>
      </c>
      <c r="I232" s="18"/>
      <c r="J232" s="18" t="s">
        <v>1</v>
      </c>
      <c r="K232" s="18" t="s">
        <v>2</v>
      </c>
      <c r="L232" s="22" t="s">
        <v>4</v>
      </c>
      <c r="M232" s="18" t="s">
        <v>5</v>
      </c>
      <c r="N232" s="18" t="s">
        <v>6</v>
      </c>
      <c r="O232" s="18"/>
      <c r="P232" s="18" t="s">
        <v>1</v>
      </c>
      <c r="Q232" s="18" t="s">
        <v>2</v>
      </c>
      <c r="R232" s="22" t="s">
        <v>4</v>
      </c>
      <c r="S232" s="18" t="s">
        <v>5</v>
      </c>
      <c r="T232" s="18" t="s">
        <v>6</v>
      </c>
      <c r="U232" s="18"/>
    </row>
    <row r="233" spans="1:21" s="6" customFormat="1" hidden="1" x14ac:dyDescent="0.25">
      <c r="A233" s="18">
        <v>255282</v>
      </c>
      <c r="B233" s="18" t="str">
        <f>VLOOKUP(A233,SAP!1:1048576,2,FALSE)</f>
        <v>Zamkn. środkowe 1E NT MV600 łączone</v>
      </c>
      <c r="C233" s="18">
        <f>IF($C$264=FALSE,$C$106,IF($C$264=TRUE,$C$106-130))</f>
        <v>2237</v>
      </c>
      <c r="D233" s="18">
        <v>1201</v>
      </c>
      <c r="E233" s="18">
        <v>2500</v>
      </c>
      <c r="F233" s="22">
        <f>IF(C233&lt;D233,0,IF(C233&lt;=E233,1,IF(C233&gt;E233,0,IF(C233&lt;=2500,2))))</f>
        <v>1</v>
      </c>
      <c r="G233" s="18">
        <f>A233*F233</f>
        <v>255282</v>
      </c>
      <c r="H233" s="18">
        <v>1</v>
      </c>
      <c r="I233" s="18">
        <f>F233*H233</f>
        <v>1</v>
      </c>
      <c r="J233" s="18"/>
      <c r="K233" s="18"/>
      <c r="L233" s="22"/>
      <c r="M233" s="18"/>
      <c r="N233" s="18"/>
      <c r="O233" s="18"/>
      <c r="P233" s="18"/>
      <c r="Q233" s="18"/>
      <c r="R233" s="22"/>
      <c r="S233" s="18"/>
      <c r="T233" s="18"/>
      <c r="U233" s="18"/>
    </row>
    <row r="234" spans="1:21" s="6" customFormat="1" hidden="1" x14ac:dyDescent="0.25">
      <c r="A234" s="18">
        <v>308267</v>
      </c>
      <c r="B234" s="18" t="str">
        <f>VLOOKUP(A234,SAP!1:1048576,2,FALSE)</f>
        <v>Zamkn. środ. 200 łącz NTi</v>
      </c>
      <c r="C234" s="18">
        <f t="shared" ref="C234:C237" si="34">IF($C$264=FALSE,$C$106,IF($C$264=TRUE,$C$106-130))</f>
        <v>2237</v>
      </c>
      <c r="D234" s="18">
        <v>1801</v>
      </c>
      <c r="E234" s="18">
        <v>2000</v>
      </c>
      <c r="F234" s="22"/>
      <c r="G234" s="18"/>
      <c r="H234" s="18">
        <v>0</v>
      </c>
      <c r="I234" s="18"/>
      <c r="J234" s="18">
        <v>1801</v>
      </c>
      <c r="K234" s="18">
        <v>2000</v>
      </c>
      <c r="L234" s="22">
        <f>IF(C233&lt;J234,0,IF(C233&lt;=K234,1,IF(C233&gt;K234,0)))</f>
        <v>0</v>
      </c>
      <c r="M234" s="18">
        <f>L234*A234</f>
        <v>0</v>
      </c>
      <c r="N234" s="18">
        <v>0</v>
      </c>
      <c r="O234" s="18">
        <v>0</v>
      </c>
      <c r="P234" s="18">
        <v>2401</v>
      </c>
      <c r="Q234" s="18">
        <v>2500</v>
      </c>
      <c r="R234" s="22">
        <f>IF(C234&lt;P234,0,IF(C234&lt;=Q234,2,IF(C234&gt;Q234,0)))</f>
        <v>0</v>
      </c>
      <c r="S234" s="18">
        <f>R234*A234/2</f>
        <v>0</v>
      </c>
      <c r="T234" s="18">
        <v>0</v>
      </c>
      <c r="U234" s="18">
        <v>0</v>
      </c>
    </row>
    <row r="235" spans="1:21" s="6" customFormat="1" hidden="1" x14ac:dyDescent="0.25">
      <c r="A235" s="18">
        <v>297858</v>
      </c>
      <c r="B235" s="18" t="str">
        <f>VLOOKUP(A235,SAP!1:1048576,2,FALSE)</f>
        <v>Przedłużka zasuwn. NT MV400 bez zaczepu</v>
      </c>
      <c r="C235" s="18">
        <f t="shared" si="34"/>
        <v>2237</v>
      </c>
      <c r="D235" s="18">
        <v>1801</v>
      </c>
      <c r="E235" s="18">
        <v>2000</v>
      </c>
      <c r="F235" s="22"/>
      <c r="G235" s="18"/>
      <c r="H235" s="18">
        <v>0</v>
      </c>
      <c r="I235" s="18"/>
      <c r="J235" s="18">
        <v>2001</v>
      </c>
      <c r="K235" s="18">
        <v>2400</v>
      </c>
      <c r="L235" s="22">
        <f>IF(C235&lt;J235,0,IF(C235&lt;=K235,1,IF(C235&gt;K235,0)))</f>
        <v>1</v>
      </c>
      <c r="M235" s="18">
        <f>L235*A235</f>
        <v>297858</v>
      </c>
      <c r="N235" s="18">
        <v>0</v>
      </c>
      <c r="O235" s="18">
        <v>0</v>
      </c>
      <c r="P235" s="18"/>
      <c r="Q235" s="18"/>
      <c r="R235" s="22"/>
      <c r="S235" s="18"/>
      <c r="T235" s="18"/>
      <c r="U235" s="18"/>
    </row>
    <row r="236" spans="1:21" s="6" customFormat="1" hidden="1" x14ac:dyDescent="0.25">
      <c r="A236" s="18">
        <v>450821</v>
      </c>
      <c r="B236" s="18" t="str">
        <f>VLOOKUP(A236,SAP!1:1048576,2,FALSE)</f>
        <v>Zamkn. środ. 200/E łącz NT</v>
      </c>
      <c r="C236" s="18">
        <f t="shared" si="34"/>
        <v>2237</v>
      </c>
      <c r="D236" s="18">
        <v>2001</v>
      </c>
      <c r="E236" s="18">
        <v>2200</v>
      </c>
      <c r="F236" s="22"/>
      <c r="G236" s="18"/>
      <c r="H236" s="18">
        <v>1</v>
      </c>
      <c r="I236" s="18"/>
      <c r="J236" s="18"/>
      <c r="K236" s="18"/>
      <c r="L236" s="22"/>
      <c r="M236" s="18"/>
      <c r="N236" s="18"/>
      <c r="O236" s="18"/>
      <c r="P236" s="18">
        <v>2201</v>
      </c>
      <c r="Q236" s="18">
        <v>2400</v>
      </c>
      <c r="R236" s="22">
        <f>IF(C236&lt;P236,0,IF(C236&lt;=Q236,1,IF(C236&gt;Q236,0)))</f>
        <v>1</v>
      </c>
      <c r="S236" s="18">
        <f>R236*A236</f>
        <v>450821</v>
      </c>
      <c r="T236" s="18">
        <v>1</v>
      </c>
      <c r="U236" s="18">
        <f>T236*R236</f>
        <v>1</v>
      </c>
    </row>
    <row r="237" spans="1:21" s="6" customFormat="1" hidden="1" x14ac:dyDescent="0.25">
      <c r="A237" s="18">
        <v>255282</v>
      </c>
      <c r="B237" s="18" t="str">
        <f>VLOOKUP(A237,SAP!1:1048576,2,FALSE)</f>
        <v>Zamkn. środkowe 1E NT MV600 łączone</v>
      </c>
      <c r="C237" s="18">
        <f t="shared" si="34"/>
        <v>2237</v>
      </c>
      <c r="D237" s="18">
        <v>2201</v>
      </c>
      <c r="E237" s="18">
        <v>2500</v>
      </c>
      <c r="F237" s="22"/>
      <c r="G237" s="18"/>
      <c r="H237" s="18">
        <v>1</v>
      </c>
      <c r="I237" s="18"/>
      <c r="J237" s="18">
        <v>2401</v>
      </c>
      <c r="K237" s="18">
        <v>2500</v>
      </c>
      <c r="L237" s="22">
        <f>IF(C237&lt;J237,0,IF(C237&lt;=K237,1,IF(C237&gt;K237,0)))</f>
        <v>0</v>
      </c>
      <c r="M237" s="18">
        <f>L237*A237</f>
        <v>0</v>
      </c>
      <c r="N237" s="18">
        <v>1</v>
      </c>
      <c r="O237" s="18">
        <f>N237*L237</f>
        <v>0</v>
      </c>
      <c r="P237" s="18"/>
      <c r="Q237" s="18"/>
      <c r="R237" s="22"/>
      <c r="S237" s="18"/>
      <c r="T237" s="18"/>
      <c r="U237" s="18"/>
    </row>
    <row r="238" spans="1:21" s="6" customFormat="1" hidden="1" x14ac:dyDescent="0.25">
      <c r="F238" s="17">
        <f>SUM(F233:F237)</f>
        <v>1</v>
      </c>
      <c r="G238" s="23">
        <f>SUM(G233:G237)</f>
        <v>255282</v>
      </c>
      <c r="I238" s="24">
        <f>SUM(I233:I237)</f>
        <v>1</v>
      </c>
      <c r="L238" s="25">
        <f>SUM(L233:L237)</f>
        <v>1</v>
      </c>
      <c r="M238" s="23">
        <f>SUM(M234:M237)</f>
        <v>297858</v>
      </c>
      <c r="O238" s="26">
        <f>SUM(O234:O237)</f>
        <v>0</v>
      </c>
      <c r="P238" s="19"/>
      <c r="Q238" s="19"/>
      <c r="R238" s="27">
        <f>SUM(R233:R237)</f>
        <v>1</v>
      </c>
      <c r="S238" s="23">
        <f>SUM(S234:S237)</f>
        <v>450821</v>
      </c>
      <c r="T238" s="19"/>
      <c r="U238" s="26">
        <f>SUM(U234:U237)</f>
        <v>1</v>
      </c>
    </row>
    <row r="239" spans="1:21" s="6" customFormat="1" hidden="1" x14ac:dyDescent="0.25"/>
    <row r="240" spans="1:21" s="6" customFormat="1" hidden="1" x14ac:dyDescent="0.25">
      <c r="A240" s="6">
        <v>260272</v>
      </c>
      <c r="B240" s="6" t="str">
        <f>VLOOKUP(A240,SAP!1:1048576,2,FALSE)</f>
        <v>Narożnik Ku/r NT/1V</v>
      </c>
      <c r="C240" s="11">
        <v>2</v>
      </c>
      <c r="Q240" s="6" t="s">
        <v>43</v>
      </c>
      <c r="R240" s="11">
        <f>SUM(I238,O238,U238)+2</f>
        <v>4</v>
      </c>
    </row>
    <row r="241" spans="1:5" s="6" customFormat="1" hidden="1" x14ac:dyDescent="0.25">
      <c r="A241" s="6">
        <v>260275</v>
      </c>
      <c r="B241" s="6" t="str">
        <f>VLOOKUP(A241,SAP!1:1048576,2,FALSE)</f>
        <v>Narożnik NT/1E</v>
      </c>
      <c r="C241" s="11">
        <v>2</v>
      </c>
    </row>
    <row r="242" spans="1:5" s="6" customFormat="1" hidden="1" x14ac:dyDescent="0.25"/>
    <row r="243" spans="1:5" s="6" customFormat="1" hidden="1" x14ac:dyDescent="0.25"/>
    <row r="244" spans="1:5" s="6" customFormat="1" hidden="1" x14ac:dyDescent="0.25"/>
    <row r="245" spans="1:5" s="6" customFormat="1" hidden="1" x14ac:dyDescent="0.25">
      <c r="C245" s="5" t="s">
        <v>294</v>
      </c>
    </row>
    <row r="246" spans="1:5" s="6" customFormat="1" hidden="1" x14ac:dyDescent="0.25">
      <c r="C246" s="5" t="s">
        <v>295</v>
      </c>
    </row>
    <row r="247" spans="1:5" s="6" customFormat="1" hidden="1" x14ac:dyDescent="0.25">
      <c r="C247" s="6" t="s">
        <v>32</v>
      </c>
      <c r="D247" s="6" t="s">
        <v>4</v>
      </c>
      <c r="E247" s="6" t="s">
        <v>31</v>
      </c>
    </row>
    <row r="248" spans="1:5" s="6" customFormat="1" hidden="1" x14ac:dyDescent="0.25">
      <c r="A248" s="6">
        <v>762909</v>
      </c>
      <c r="B248" s="6" t="str">
        <f>VLOOKUP(A248,SAP!1:1048576,2,FALSE)</f>
        <v>Wózek 8 41 L PIN</v>
      </c>
    </row>
    <row r="249" spans="1:5" s="6" customFormat="1" hidden="1" x14ac:dyDescent="0.25">
      <c r="A249" s="6">
        <v>762910</v>
      </c>
      <c r="B249" s="6" t="str">
        <f>VLOOKUP(A249,SAP!1:1048576,2,FALSE)</f>
        <v>Wózek 8 41 R PIN</v>
      </c>
    </row>
    <row r="250" spans="1:5" s="6" customFormat="1" hidden="1" x14ac:dyDescent="0.25">
      <c r="A250" s="28">
        <v>797726</v>
      </c>
      <c r="B250" s="5" t="str">
        <f>VLOOKUP(A250,SAP!1:1048576,2,FALSE)</f>
        <v xml:space="preserve">Wózek DR 8 41 L PIN </v>
      </c>
      <c r="C250" s="5" t="s">
        <v>77</v>
      </c>
    </row>
    <row r="251" spans="1:5" s="6" customFormat="1" hidden="1" x14ac:dyDescent="0.25">
      <c r="A251" s="28">
        <v>797727</v>
      </c>
      <c r="B251" s="5" t="str">
        <f>VLOOKUP(A251,SAP!1:1048576,2,FALSE)</f>
        <v xml:space="preserve">Wózek DR 8 41 R PIN </v>
      </c>
      <c r="C251" s="5" t="s">
        <v>77</v>
      </c>
    </row>
    <row r="252" spans="1:5" s="6" customFormat="1" hidden="1" x14ac:dyDescent="0.25">
      <c r="C252" s="29">
        <v>1</v>
      </c>
      <c r="D252" s="6" t="s">
        <v>85</v>
      </c>
    </row>
    <row r="253" spans="1:5" s="6" customFormat="1" hidden="1" x14ac:dyDescent="0.25">
      <c r="A253" s="6">
        <v>762911</v>
      </c>
      <c r="B253" s="6" t="str">
        <f>VLOOKUP(A253,SAP!1:1048576,2,FALSE)</f>
        <v>Jednostka ster. 8 41 L PIN</v>
      </c>
    </row>
    <row r="254" spans="1:5" s="6" customFormat="1" hidden="1" x14ac:dyDescent="0.25">
      <c r="A254" s="6">
        <v>762912</v>
      </c>
      <c r="B254" s="6" t="str">
        <f>VLOOKUP(A254,SAP!1:1048576,2,FALSE)</f>
        <v>Jednostka ster. 8 41 R PIN</v>
      </c>
    </row>
    <row r="255" spans="1:5" s="6" customFormat="1" hidden="1" x14ac:dyDescent="0.25">
      <c r="A255" s="5">
        <v>797728</v>
      </c>
      <c r="B255" s="5" t="str">
        <f>VLOOKUP(A255,SAP!1:1048576,2,FALSE)</f>
        <v>Jednostka ster. DR 8 41 L PIN</v>
      </c>
      <c r="C255" s="5" t="s">
        <v>77</v>
      </c>
    </row>
    <row r="256" spans="1:5" s="6" customFormat="1" hidden="1" x14ac:dyDescent="0.25">
      <c r="A256" s="5">
        <v>797729</v>
      </c>
      <c r="B256" s="5" t="str">
        <f>VLOOKUP(A256,SAP!1:1048576,2,FALSE)</f>
        <v>Jednostka ster. DR 8 41 R PIN</v>
      </c>
      <c r="C256" s="5" t="s">
        <v>77</v>
      </c>
    </row>
    <row r="257" spans="1:4" s="6" customFormat="1" hidden="1" x14ac:dyDescent="0.25"/>
    <row r="258" spans="1:4" s="6" customFormat="1" hidden="1" x14ac:dyDescent="0.25">
      <c r="A258" s="6">
        <v>762913</v>
      </c>
      <c r="B258" s="6" t="str">
        <f>VLOOKUP(A258,SAP!1:1048576,2,FALSE)</f>
        <v>Docisk środkowy 8 41 L PIN</v>
      </c>
      <c r="C258" s="11">
        <f>IF(C233&lt;=2200,R240,IF(C233&lt;=2400,R240-1,IF(C233&gt;2400,R240)))</f>
        <v>3</v>
      </c>
      <c r="D258" s="6" t="s">
        <v>86</v>
      </c>
    </row>
    <row r="259" spans="1:4" s="6" customFormat="1" hidden="1" x14ac:dyDescent="0.25">
      <c r="A259" s="6">
        <v>762914</v>
      </c>
      <c r="B259" s="6" t="str">
        <f>VLOOKUP(A259,SAP!1:1048576,2,FALSE)</f>
        <v>Docisk środkowy 8 41 R PIN</v>
      </c>
    </row>
    <row r="260" spans="1:4" s="6" customFormat="1" hidden="1" x14ac:dyDescent="0.25">
      <c r="A260" s="5">
        <v>797730</v>
      </c>
      <c r="B260" s="5" t="str">
        <f>VLOOKUP(A260,SAP!1:1048576,2,FALSE)</f>
        <v>Docisk środkowy DR 8 41 L PIN</v>
      </c>
      <c r="C260" s="5" t="s">
        <v>77</v>
      </c>
    </row>
    <row r="261" spans="1:4" s="6" customFormat="1" hidden="1" x14ac:dyDescent="0.25">
      <c r="A261" s="5">
        <v>797732</v>
      </c>
      <c r="B261" s="5" t="str">
        <f>VLOOKUP(A261,SAP!1:1048576,2,FALSE)</f>
        <v>Docisk środkowy DR 8 41 R PIN</v>
      </c>
      <c r="C261" s="5" t="s">
        <v>77</v>
      </c>
    </row>
    <row r="262" spans="1:4" s="6" customFormat="1" hidden="1" x14ac:dyDescent="0.25"/>
    <row r="263" spans="1:4" s="6" customFormat="1" hidden="1" x14ac:dyDescent="0.25">
      <c r="A263" s="6">
        <v>764350</v>
      </c>
      <c r="B263" s="6" t="str">
        <f>VLOOKUP(A263,SAP!1:1048576,2,FALSE)</f>
        <v>Zamkn. środkowe 1E NTN MV130 łączone</v>
      </c>
      <c r="C263" s="6">
        <f>IF(C264=FALSE,4,IF(C264=TRUE,6))</f>
        <v>4</v>
      </c>
    </row>
    <row r="264" spans="1:4" s="6" customFormat="1" hidden="1" x14ac:dyDescent="0.25">
      <c r="C264" s="6" t="b">
        <v>0</v>
      </c>
    </row>
    <row r="265" spans="1:4" s="6" customFormat="1" hidden="1" x14ac:dyDescent="0.25">
      <c r="A265" s="5">
        <v>771375</v>
      </c>
      <c r="B265" s="5" t="str">
        <f>VLOOKUP(A265,SAP!1:1048576,2,FALSE)</f>
        <v>Trzpień docisku środkowego 34.4 PIN Holz</v>
      </c>
      <c r="C265" s="11">
        <f>IF(C233&lt;=2200,R240,IF(C233&lt;=2400,R240-1,IF(C233&gt;2400,R240)))</f>
        <v>3</v>
      </c>
    </row>
    <row r="266" spans="1:4" s="6" customFormat="1" hidden="1" x14ac:dyDescent="0.25">
      <c r="A266" s="6">
        <v>809614</v>
      </c>
      <c r="B266" s="6" t="str">
        <f>VLOOKUP(A266,SAP!1:1048576,2,FALSE)</f>
        <v>Trzpień docisku środkowego 38.4 PIN Gealan</v>
      </c>
    </row>
    <row r="267" spans="1:4" s="6" customFormat="1" hidden="1" x14ac:dyDescent="0.25">
      <c r="A267" s="6">
        <v>809612</v>
      </c>
      <c r="B267" s="6" t="str">
        <f>VLOOKUP(A267,SAP!1:1048576,2,FALSE)</f>
        <v>Trzpień docisku środkowego 32.8 PIN Aluplast</v>
      </c>
    </row>
    <row r="268" spans="1:4" s="6" customFormat="1" hidden="1" x14ac:dyDescent="0.25"/>
    <row r="269" spans="1:4" s="6" customFormat="1" hidden="1" x14ac:dyDescent="0.25"/>
    <row r="270" spans="1:4" s="6" customFormat="1" hidden="1" x14ac:dyDescent="0.25">
      <c r="A270" s="6">
        <v>793493</v>
      </c>
      <c r="B270" s="6" t="str">
        <f>VLOOKUP(A270,SAP!1:1048576,2,FALSE)</f>
        <v>Zaczep docisku MV-SEB</v>
      </c>
      <c r="C270" s="11">
        <f>IF(C233&lt;=2200,R240,IF(C233&lt;=2400,R240-1,IF(C233&gt;2400,R240)))</f>
        <v>3</v>
      </c>
      <c r="D270" s="6" t="s">
        <v>49</v>
      </c>
    </row>
    <row r="271" spans="1:4" s="6" customFormat="1" hidden="1" x14ac:dyDescent="0.25">
      <c r="A271" s="5">
        <v>798223</v>
      </c>
      <c r="B271" s="5" t="str">
        <f>VLOOKUP(A271,SAP!1:1048576,2,FALSE)</f>
        <v>Zaczep docisku MV-SEB Holz</v>
      </c>
      <c r="C271" s="5"/>
      <c r="D271" s="5" t="s">
        <v>50</v>
      </c>
    </row>
    <row r="272" spans="1:4" s="6" customFormat="1" hidden="1" x14ac:dyDescent="0.25"/>
    <row r="273" spans="1:3" s="6" customFormat="1" hidden="1" x14ac:dyDescent="0.25">
      <c r="A273" s="6">
        <v>798225</v>
      </c>
      <c r="B273" s="6" t="str">
        <f>VLOOKUP(A273,SAP!1:1048576,2,FALSE)</f>
        <v>Zaczep p-wywBlok.bł.obsługiDr/PVC12.2PIN</v>
      </c>
      <c r="C273" s="6">
        <f>IF(C106&lt;1000,0,IF(C106&gt;=1001,1))</f>
        <v>1</v>
      </c>
    </row>
    <row r="274" spans="1:3" s="6" customFormat="1" hidden="1" x14ac:dyDescent="0.25">
      <c r="A274" s="6">
        <v>788175</v>
      </c>
      <c r="B274" s="6" t="str">
        <f>VLOOKUP(A274,SAP!1:1048576,2,FALSE)</f>
        <v>Zaczep blok.bł.obsługi drewno/PVC12.2PIN</v>
      </c>
    </row>
    <row r="275" spans="1:3" s="6" customFormat="1" hidden="1" x14ac:dyDescent="0.25"/>
    <row r="276" spans="1:3" s="6" customFormat="1" hidden="1" x14ac:dyDescent="0.25">
      <c r="A276" s="6">
        <v>0</v>
      </c>
      <c r="B276" s="6" t="s">
        <v>40</v>
      </c>
    </row>
    <row r="277" spans="1:3" s="6" customFormat="1" hidden="1" x14ac:dyDescent="0.25"/>
    <row r="278" spans="1:3" s="6" customFormat="1" hidden="1" x14ac:dyDescent="0.25">
      <c r="A278" s="6">
        <v>744579</v>
      </c>
      <c r="B278" s="6" t="s">
        <v>84</v>
      </c>
    </row>
    <row r="279" spans="1:3" s="6" customFormat="1" hidden="1" x14ac:dyDescent="0.25">
      <c r="A279" s="5">
        <v>798224</v>
      </c>
      <c r="B279" s="5" t="str">
        <f>VLOOKUP(A279,SAP!1:1048576,2,FALSE)</f>
        <v>Zaczep p-wyw drewno L</v>
      </c>
      <c r="C279" s="5" t="s">
        <v>77</v>
      </c>
    </row>
    <row r="280" spans="1:3" s="6" customFormat="1" hidden="1" x14ac:dyDescent="0.25">
      <c r="A280" s="5">
        <v>798245</v>
      </c>
      <c r="B280" s="5" t="str">
        <f>VLOOKUP(A280,SAP!1:1048576,2,FALSE)</f>
        <v>Zaczep p-wyw drewno R</v>
      </c>
      <c r="C280" s="5" t="s">
        <v>77</v>
      </c>
    </row>
    <row r="281" spans="1:3" s="6" customFormat="1" hidden="1" x14ac:dyDescent="0.25">
      <c r="A281" s="30"/>
      <c r="B281" s="30"/>
      <c r="C281" s="30"/>
    </row>
    <row r="282" spans="1:3" s="6" customFormat="1" hidden="1" x14ac:dyDescent="0.25">
      <c r="A282" s="6">
        <v>635307</v>
      </c>
      <c r="B282" s="6" t="str">
        <f>VLOOKUP(A282,SAP!1:1048576,2,FALSE)</f>
        <v>Zderzak 14 PIN</v>
      </c>
    </row>
    <row r="283" spans="1:3" s="6" customFormat="1" hidden="1" x14ac:dyDescent="0.25"/>
    <row r="284" spans="1:3" s="6" customFormat="1" hidden="1" x14ac:dyDescent="0.25">
      <c r="A284" s="6">
        <v>635183</v>
      </c>
      <c r="B284" s="6" t="str">
        <f>VLOOKUP(A284,SAP!1:1048576,2,FALSE)</f>
        <v>Odbojnik gumowy 21x8 RAL9005 Inowa</v>
      </c>
    </row>
    <row r="285" spans="1:3" s="6" customFormat="1" hidden="1" x14ac:dyDescent="0.25">
      <c r="A285" s="5">
        <v>798249</v>
      </c>
      <c r="B285" s="5" t="str">
        <f>VLOOKUP(A285,SAP!1:1048576,2,FALSE)</f>
        <v>Odbojnik gumowy 21X11.5 RAL 9005 Holz</v>
      </c>
      <c r="C285" s="5" t="s">
        <v>77</v>
      </c>
    </row>
    <row r="286" spans="1:3" s="6" customFormat="1" hidden="1" x14ac:dyDescent="0.25">
      <c r="A286" s="6">
        <v>800196</v>
      </c>
      <c r="B286" s="6" t="str">
        <f>VLOOKUP($A$286,SAP!1:1048576,2,0)</f>
        <v>Stoper do prowadnicy górnej PIN</v>
      </c>
    </row>
    <row r="287" spans="1:3" s="6" customFormat="1" hidden="1" x14ac:dyDescent="0.25">
      <c r="A287" s="6">
        <v>800197</v>
      </c>
      <c r="B287" s="6" t="str">
        <f>VLOOKUP($A$287,SAP!1:1048576,2,0)</f>
        <v>El. dyst. stopera prowadnicy górnej PIN</v>
      </c>
    </row>
    <row r="288" spans="1:3" s="6" customFormat="1" hidden="1" x14ac:dyDescent="0.25"/>
    <row r="289" spans="1:5" s="6" customFormat="1" hidden="1" x14ac:dyDescent="0.25">
      <c r="A289" s="98">
        <v>819632</v>
      </c>
      <c r="B289" s="6" t="str">
        <f>VLOOKUP(A289,SAP!A135:G409,2,FALSE)</f>
        <v>Osłona MB R01.1 PIN</v>
      </c>
      <c r="C289" s="6" t="str">
        <f>SAP!A113</f>
        <v>R01.1 naturalny srebrny</v>
      </c>
      <c r="E289" s="11">
        <v>1</v>
      </c>
    </row>
    <row r="290" spans="1:5" s="6" customFormat="1" hidden="1" x14ac:dyDescent="0.25">
      <c r="A290" s="98">
        <v>819631</v>
      </c>
      <c r="B290" s="6" t="str">
        <f>VLOOKUP(A290,SAP!A135:G409,2,FALSE)</f>
        <v>Osłona MB R05.3 PIN</v>
      </c>
      <c r="C290" s="6" t="str">
        <f>SAP!A112</f>
        <v>R05.3 średni brąz</v>
      </c>
    </row>
    <row r="291" spans="1:5" s="6" customFormat="1" hidden="1" x14ac:dyDescent="0.25">
      <c r="A291" s="6">
        <v>798979</v>
      </c>
      <c r="B291" s="6" t="str">
        <f>VLOOKUP(A291,SAP!1:1048576,2,FALSE)</f>
        <v>Osłona MB R06.2 PIN</v>
      </c>
      <c r="C291" s="6" t="str">
        <f>SAP!A110</f>
        <v>R06.2 czarny</v>
      </c>
    </row>
    <row r="292" spans="1:5" s="6" customFormat="1" hidden="1" x14ac:dyDescent="0.25">
      <c r="A292" s="6">
        <v>808054</v>
      </c>
      <c r="B292" s="6" t="str">
        <f>VLOOKUP(A292,SAP!1:1048576,2,FALSE)</f>
        <v>Osłona MB R07.2 PIN</v>
      </c>
      <c r="C292" s="6" t="str">
        <f>SAP!A111</f>
        <v>R07.2 biały</v>
      </c>
    </row>
    <row r="293" spans="1:5" s="6" customFormat="1" hidden="1" x14ac:dyDescent="0.25"/>
    <row r="294" spans="1:5" s="6" customFormat="1" hidden="1" x14ac:dyDescent="0.25">
      <c r="A294" s="37">
        <v>817052</v>
      </c>
      <c r="B294" s="37" t="s">
        <v>1250</v>
      </c>
      <c r="C294" s="6">
        <v>1</v>
      </c>
      <c r="D294" s="6" t="s">
        <v>47</v>
      </c>
    </row>
    <row r="295" spans="1:5" s="6" customFormat="1" hidden="1" x14ac:dyDescent="0.25">
      <c r="A295" s="6">
        <v>821509</v>
      </c>
      <c r="B295" s="37" t="str">
        <f>VLOOKUP(A295,SAP!A413:B440,2,0)</f>
        <v>Kpl. elem. p-wyw schemat C 31.3 PIN</v>
      </c>
      <c r="D295" s="6" t="s">
        <v>68</v>
      </c>
    </row>
    <row r="296" spans="1:5" s="6" customFormat="1" hidden="1" x14ac:dyDescent="0.25">
      <c r="A296" s="37">
        <v>822393</v>
      </c>
      <c r="B296" s="37" t="s">
        <v>1251</v>
      </c>
      <c r="C296" s="6">
        <v>1</v>
      </c>
      <c r="D296" s="6" t="s">
        <v>47</v>
      </c>
    </row>
    <row r="297" spans="1:5" s="6" customFormat="1" hidden="1" x14ac:dyDescent="0.25">
      <c r="A297" s="6">
        <v>820048</v>
      </c>
      <c r="B297" s="37" t="str">
        <f>VLOOKUP(A297,SAP!A418:B418,2,0)</f>
        <v>Trzpień p-wyw docisku środk. 38X8 PIN</v>
      </c>
      <c r="D297" s="6" t="s">
        <v>68</v>
      </c>
    </row>
    <row r="298" spans="1:5" s="6" customFormat="1" hidden="1" x14ac:dyDescent="0.25">
      <c r="A298" s="37">
        <v>762913</v>
      </c>
      <c r="B298" s="37" t="s">
        <v>1252</v>
      </c>
      <c r="C298" s="6" t="str">
        <f>SAP!A64</f>
        <v>Lewe --&gt;</v>
      </c>
      <c r="E298" s="11">
        <v>1</v>
      </c>
    </row>
    <row r="299" spans="1:5" s="6" customFormat="1" hidden="1" x14ac:dyDescent="0.25">
      <c r="A299" s="37">
        <v>762914</v>
      </c>
      <c r="B299" s="37" t="s">
        <v>1253</v>
      </c>
      <c r="C299" s="6" t="str">
        <f>SAP!B65</f>
        <v>Prawe &lt;--</v>
      </c>
      <c r="E299" s="117">
        <f>IF(E298=1,A298,IF(E298=2,A299))</f>
        <v>762913</v>
      </c>
    </row>
    <row r="300" spans="1:5" s="6" customFormat="1" hidden="1" x14ac:dyDescent="0.25">
      <c r="A300" s="37">
        <v>810279</v>
      </c>
      <c r="B300" s="37" t="s">
        <v>1254</v>
      </c>
      <c r="C300" s="6">
        <v>1</v>
      </c>
    </row>
    <row r="301" spans="1:5" s="6" customFormat="1" hidden="1" x14ac:dyDescent="0.25">
      <c r="A301" s="37">
        <v>828482</v>
      </c>
      <c r="B301" s="37" t="s">
        <v>1370</v>
      </c>
      <c r="C301" s="6" t="str">
        <f>SAP!A113</f>
        <v>R01.1 naturalny srebrny</v>
      </c>
    </row>
    <row r="302" spans="1:5" s="6" customFormat="1" hidden="1" x14ac:dyDescent="0.25">
      <c r="A302" s="37">
        <v>828483</v>
      </c>
      <c r="B302" s="37" t="s">
        <v>1371</v>
      </c>
      <c r="C302" s="6" t="str">
        <f>SAP!A112</f>
        <v>R05.3 średni brąz</v>
      </c>
    </row>
    <row r="303" spans="1:5" s="6" customFormat="1" hidden="1" x14ac:dyDescent="0.25">
      <c r="A303" s="37">
        <v>809717</v>
      </c>
      <c r="B303" s="37" t="s">
        <v>1255</v>
      </c>
      <c r="C303" s="6" t="str">
        <f>SAP!A110</f>
        <v>R06.2 czarny</v>
      </c>
      <c r="E303" s="11">
        <v>1</v>
      </c>
    </row>
    <row r="304" spans="1:5" s="6" customFormat="1" hidden="1" x14ac:dyDescent="0.25">
      <c r="A304" s="37">
        <v>819351</v>
      </c>
      <c r="B304" s="37" t="s">
        <v>1256</v>
      </c>
      <c r="C304" s="6" t="str">
        <f>SAP!A111</f>
        <v>R07.2 biały</v>
      </c>
      <c r="E304" s="6">
        <f>IF(E303=1,A301,IF(E303=2,A302,IF(E303=3,A303,IF(E303=4,A304))))</f>
        <v>828482</v>
      </c>
    </row>
    <row r="305" spans="1:12" s="6" customFormat="1" hidden="1" x14ac:dyDescent="0.25"/>
    <row r="306" spans="1:12" s="6" customFormat="1" hidden="1" x14ac:dyDescent="0.25">
      <c r="A306" s="5">
        <f>SAP!A276</f>
        <v>807733</v>
      </c>
      <c r="B306" s="5" t="str">
        <f>VLOOKUP(A306,SAP!1:1048576,2,FALSE)</f>
        <v>Próg AL L=3,2M R01.1-1101 PIN</v>
      </c>
    </row>
    <row r="307" spans="1:12" s="6" customFormat="1" hidden="1" x14ac:dyDescent="0.25">
      <c r="A307" s="5">
        <f>SAP!A277</f>
        <v>807734</v>
      </c>
      <c r="B307" s="5" t="str">
        <f>VLOOKUP(A307,SAP!1:1048576,2,FALSE)</f>
        <v>Próg AL L=6,4M R01.1-1101 PIN</v>
      </c>
    </row>
    <row r="308" spans="1:12" s="6" customFormat="1" hidden="1" x14ac:dyDescent="0.25"/>
    <row r="309" spans="1:12" s="6" customFormat="1" hidden="1" x14ac:dyDescent="0.25">
      <c r="A309" s="6">
        <v>782921</v>
      </c>
      <c r="B309" s="6" t="str">
        <f>VLOOKUP(A309,SAP!$1:$1048576,2,FALSE)</f>
        <v>Prowadnica L=3,2M R01.1-1101 PIN</v>
      </c>
    </row>
    <row r="310" spans="1:12" s="6" customFormat="1" hidden="1" x14ac:dyDescent="0.25">
      <c r="A310" s="6">
        <v>782922</v>
      </c>
      <c r="B310" s="6" t="str">
        <f>VLOOKUP(A310,SAP!$1:$1048576,2,FALSE)</f>
        <v>Prowadnica L=6,4M R01.1-1101 PIN</v>
      </c>
    </row>
    <row r="311" spans="1:12" s="6" customFormat="1" hidden="1" x14ac:dyDescent="0.25"/>
    <row r="312" spans="1:12" s="6" customFormat="1" hidden="1" x14ac:dyDescent="0.25">
      <c r="A312" s="5">
        <f>SAP!A282</f>
        <v>473587</v>
      </c>
      <c r="B312" s="5" t="str">
        <f>VLOOKUP(A312,SAP!1:1048576,2,FALSE)</f>
        <v>Uszczelka QL-3006 2,1m BRĄZ RAL8019</v>
      </c>
    </row>
    <row r="313" spans="1:12" s="6" customFormat="1" hidden="1" x14ac:dyDescent="0.25">
      <c r="A313" s="5">
        <f>SAP!A283</f>
        <v>473588</v>
      </c>
      <c r="B313" s="5" t="str">
        <f>VLOOKUP(A313,SAP!1:1048576,2,FALSE)</f>
        <v>Uszczelka QL-7000 BRĄZ RAL8019</v>
      </c>
      <c r="H313" s="6" t="s">
        <v>233</v>
      </c>
    </row>
    <row r="314" spans="1:12" s="6" customFormat="1" hidden="1" x14ac:dyDescent="0.25">
      <c r="C314" s="6" t="s">
        <v>196</v>
      </c>
      <c r="D314" s="6" t="s">
        <v>195</v>
      </c>
      <c r="E314" s="6" t="s">
        <v>197</v>
      </c>
      <c r="H314" s="6" t="s">
        <v>196</v>
      </c>
      <c r="I314" s="6" t="s">
        <v>195</v>
      </c>
      <c r="J314" s="6" t="s">
        <v>197</v>
      </c>
    </row>
    <row r="315" spans="1:12" s="6" customFormat="1" hidden="1" x14ac:dyDescent="0.25">
      <c r="C315" s="31">
        <f>D95</f>
        <v>1</v>
      </c>
      <c r="D315" s="31">
        <f>D102</f>
        <v>3</v>
      </c>
      <c r="E315" s="31">
        <f>F102</f>
        <v>1</v>
      </c>
      <c r="H315" s="31">
        <f>J95</f>
        <v>1</v>
      </c>
      <c r="I315" s="31">
        <f>J102</f>
        <v>3</v>
      </c>
      <c r="J315" s="31">
        <f>E315</f>
        <v>1</v>
      </c>
    </row>
    <row r="316" spans="1:12" s="6" customFormat="1" hidden="1" x14ac:dyDescent="0.25">
      <c r="A316" s="6">
        <v>786362</v>
      </c>
      <c r="B316" s="6" t="str">
        <f>VLOOKUP(A316,SAP!$1:$1048576,2,FALSE)</f>
        <v>Klamka R-line 32mm 200 R01.1 ALV</v>
      </c>
      <c r="C316" s="6">
        <f>IF($C$315=1,1,IF($C$315&lt;&gt;1,0))</f>
        <v>1</v>
      </c>
      <c r="D316" s="6">
        <f>IF($D$315=1,1,IF($D$315&lt;&gt;1,0))</f>
        <v>0</v>
      </c>
      <c r="E316" s="6">
        <f>IF($E$315=1,1,IF($E$315&lt;&gt;1,0))</f>
        <v>1</v>
      </c>
      <c r="F316" s="6">
        <f>C316*D316*E316</f>
        <v>0</v>
      </c>
      <c r="G316" s="6">
        <f>F316*A316</f>
        <v>0</v>
      </c>
      <c r="H316" s="6">
        <f>IF($H$315=1,1,IF($H$315&lt;&gt;1,0))</f>
        <v>1</v>
      </c>
      <c r="I316" s="6">
        <f>IF($I$315=1,1,IF($I$315&lt;&gt;1,0))</f>
        <v>0</v>
      </c>
      <c r="J316" s="6">
        <f>IF($J$315=1,1,IF($J$315&lt;&gt;1,0))</f>
        <v>1</v>
      </c>
      <c r="K316" s="6">
        <f>H316*I316*J316</f>
        <v>0</v>
      </c>
      <c r="L316" s="6">
        <f>K316*A316</f>
        <v>0</v>
      </c>
    </row>
    <row r="317" spans="1:12" s="6" customFormat="1" hidden="1" x14ac:dyDescent="0.25">
      <c r="A317" s="6">
        <v>786669</v>
      </c>
      <c r="B317" s="6" t="str">
        <f>VLOOKUP(A317,SAP!$1:$1048576,2,FALSE)</f>
        <v>Klamka R-line 32mm 200 R01.2 ALV</v>
      </c>
      <c r="C317" s="6">
        <f t="shared" ref="C317:C346" si="35">IF($C$315=1,1,IF($C$315&lt;&gt;1,0))</f>
        <v>1</v>
      </c>
      <c r="D317" s="6">
        <f t="shared" ref="D317:D325" si="36">IF($D$315=1,1,IF($D$315&lt;&gt;1,0))</f>
        <v>0</v>
      </c>
      <c r="E317" s="6">
        <f>IF($E$315=2,1,IF($E$315&lt;&gt;2,0))</f>
        <v>0</v>
      </c>
      <c r="F317" s="6">
        <f t="shared" ref="F317:F346" si="37">C317*D317*E317</f>
        <v>0</v>
      </c>
      <c r="G317" s="6">
        <f t="shared" ref="G317:G346" si="38">F317*A317</f>
        <v>0</v>
      </c>
      <c r="H317" s="6">
        <f t="shared" ref="H317:H346" si="39">IF($H$315=1,1,IF($H$315&lt;&gt;1,0))</f>
        <v>1</v>
      </c>
      <c r="I317" s="6">
        <f t="shared" ref="I317:I325" si="40">IF($I$315=1,1,IF($I$315&lt;&gt;1,0))</f>
        <v>0</v>
      </c>
      <c r="J317" s="6">
        <f>IF($J$315=2,1,IF($J$315&lt;&gt;2,0))</f>
        <v>0</v>
      </c>
      <c r="K317" s="6">
        <f t="shared" ref="K317:K380" si="41">H317*I317*J317</f>
        <v>0</v>
      </c>
      <c r="L317" s="6">
        <f t="shared" ref="L317:L380" si="42">K317*A317</f>
        <v>0</v>
      </c>
    </row>
    <row r="318" spans="1:12" s="6" customFormat="1" hidden="1" x14ac:dyDescent="0.25">
      <c r="A318" s="6">
        <v>786670</v>
      </c>
      <c r="B318" s="6" t="str">
        <f>VLOOKUP(A318,SAP!$1:$1048576,2,FALSE)</f>
        <v>Klamka R-line 32mm 200 R01.3 ALV</v>
      </c>
      <c r="C318" s="6">
        <f t="shared" si="35"/>
        <v>1</v>
      </c>
      <c r="D318" s="6">
        <f t="shared" si="36"/>
        <v>0</v>
      </c>
      <c r="E318" s="6">
        <f>IF($E$315=3,1,IF($E$315&lt;&gt;3,0))</f>
        <v>0</v>
      </c>
      <c r="F318" s="6">
        <f t="shared" si="37"/>
        <v>0</v>
      </c>
      <c r="G318" s="6">
        <f t="shared" si="38"/>
        <v>0</v>
      </c>
      <c r="H318" s="6">
        <f t="shared" si="39"/>
        <v>1</v>
      </c>
      <c r="I318" s="6">
        <f t="shared" si="40"/>
        <v>0</v>
      </c>
      <c r="J318" s="6">
        <f>IF($J$315=3,1,IF($J$315&lt;&gt;3,0))</f>
        <v>0</v>
      </c>
      <c r="K318" s="6">
        <f t="shared" si="41"/>
        <v>0</v>
      </c>
      <c r="L318" s="6">
        <f t="shared" si="42"/>
        <v>0</v>
      </c>
    </row>
    <row r="319" spans="1:12" s="6" customFormat="1" hidden="1" x14ac:dyDescent="0.25">
      <c r="A319" s="6">
        <v>786671</v>
      </c>
      <c r="B319" s="6" t="str">
        <f>VLOOKUP(A319,SAP!$1:$1048576,2,FALSE)</f>
        <v>Klamka R-line 32mm 200 R01.5 ALV</v>
      </c>
      <c r="C319" s="6">
        <f t="shared" si="35"/>
        <v>1</v>
      </c>
      <c r="D319" s="6">
        <f t="shared" si="36"/>
        <v>0</v>
      </c>
      <c r="E319" s="6">
        <f>IF($E$315=4,1,IF($E$315&lt;&gt;4,0))</f>
        <v>0</v>
      </c>
      <c r="F319" s="6">
        <f t="shared" si="37"/>
        <v>0</v>
      </c>
      <c r="G319" s="6">
        <f t="shared" si="38"/>
        <v>0</v>
      </c>
      <c r="H319" s="6">
        <f t="shared" si="39"/>
        <v>1</v>
      </c>
      <c r="I319" s="6">
        <f t="shared" si="40"/>
        <v>0</v>
      </c>
      <c r="J319" s="6">
        <f>IF($J$315=4,1,IF($J$315&lt;&gt;4,0))</f>
        <v>0</v>
      </c>
      <c r="K319" s="6">
        <f t="shared" si="41"/>
        <v>0</v>
      </c>
      <c r="L319" s="6">
        <f t="shared" si="42"/>
        <v>0</v>
      </c>
    </row>
    <row r="320" spans="1:12" s="6" customFormat="1" hidden="1" x14ac:dyDescent="0.25">
      <c r="A320" s="6">
        <v>786363</v>
      </c>
      <c r="B320" s="6" t="str">
        <f>VLOOKUP(A320,SAP!$1:$1048576,2,FALSE)</f>
        <v>Klamka R-line 32mm 200 R05.3 ALV</v>
      </c>
      <c r="C320" s="6">
        <f t="shared" si="35"/>
        <v>1</v>
      </c>
      <c r="D320" s="6">
        <f t="shared" si="36"/>
        <v>0</v>
      </c>
      <c r="E320" s="6">
        <f>IF($E$315=5,1,IF($E$315&lt;&gt;5,0))</f>
        <v>0</v>
      </c>
      <c r="F320" s="6">
        <f t="shared" si="37"/>
        <v>0</v>
      </c>
      <c r="G320" s="6">
        <f t="shared" si="38"/>
        <v>0</v>
      </c>
      <c r="H320" s="6">
        <f t="shared" si="39"/>
        <v>1</v>
      </c>
      <c r="I320" s="6">
        <f t="shared" si="40"/>
        <v>0</v>
      </c>
      <c r="J320" s="6">
        <f>IF($J$315=5,1,IF($J$315&lt;&gt;5,0))</f>
        <v>0</v>
      </c>
      <c r="K320" s="6">
        <f t="shared" si="41"/>
        <v>0</v>
      </c>
      <c r="L320" s="6">
        <f t="shared" si="42"/>
        <v>0</v>
      </c>
    </row>
    <row r="321" spans="1:12" s="6" customFormat="1" hidden="1" x14ac:dyDescent="0.25">
      <c r="A321" s="6">
        <v>786364</v>
      </c>
      <c r="B321" s="6" t="str">
        <f>VLOOKUP(A321,SAP!$1:$1048576,2,FALSE)</f>
        <v>Klamka R-line 32mm 200 R05.4 ALV</v>
      </c>
      <c r="C321" s="6">
        <f t="shared" si="35"/>
        <v>1</v>
      </c>
      <c r="D321" s="6">
        <f t="shared" si="36"/>
        <v>0</v>
      </c>
      <c r="E321" s="6">
        <f>IF($E$315=6,1,IF($E$315&lt;&gt;6,0))</f>
        <v>0</v>
      </c>
      <c r="F321" s="6">
        <f t="shared" si="37"/>
        <v>0</v>
      </c>
      <c r="G321" s="6">
        <f t="shared" si="38"/>
        <v>0</v>
      </c>
      <c r="H321" s="6">
        <f t="shared" si="39"/>
        <v>1</v>
      </c>
      <c r="I321" s="6">
        <f t="shared" si="40"/>
        <v>0</v>
      </c>
      <c r="J321" s="6">
        <f>IF($J$315=6,1,IF($J$315&lt;&gt;6,0))</f>
        <v>0</v>
      </c>
      <c r="K321" s="6">
        <f t="shared" si="41"/>
        <v>0</v>
      </c>
      <c r="L321" s="6">
        <f t="shared" si="42"/>
        <v>0</v>
      </c>
    </row>
    <row r="322" spans="1:12" s="6" customFormat="1" hidden="1" x14ac:dyDescent="0.25">
      <c r="A322" s="6">
        <v>786673</v>
      </c>
      <c r="B322" s="6" t="str">
        <f>VLOOKUP(A322,SAP!$1:$1048576,2,FALSE)</f>
        <v>Klamka R-line 32mm 200 R05.5 ALV</v>
      </c>
      <c r="C322" s="6">
        <f t="shared" si="35"/>
        <v>1</v>
      </c>
      <c r="D322" s="6">
        <f t="shared" si="36"/>
        <v>0</v>
      </c>
      <c r="E322" s="6">
        <f>IF($E$315=7,1,IF($E$315&lt;&gt;7,0))</f>
        <v>0</v>
      </c>
      <c r="F322" s="6">
        <f t="shared" si="37"/>
        <v>0</v>
      </c>
      <c r="G322" s="6">
        <f t="shared" si="38"/>
        <v>0</v>
      </c>
      <c r="H322" s="6">
        <f t="shared" si="39"/>
        <v>1</v>
      </c>
      <c r="I322" s="6">
        <f t="shared" si="40"/>
        <v>0</v>
      </c>
      <c r="J322" s="6">
        <f>IF($J$315=7,1,IF($J$315&lt;&gt;7,0))</f>
        <v>0</v>
      </c>
      <c r="K322" s="6">
        <f t="shared" si="41"/>
        <v>0</v>
      </c>
      <c r="L322" s="6">
        <f t="shared" si="42"/>
        <v>0</v>
      </c>
    </row>
    <row r="323" spans="1:12" s="6" customFormat="1" hidden="1" x14ac:dyDescent="0.25">
      <c r="A323" s="6">
        <v>786674</v>
      </c>
      <c r="B323" s="6" t="str">
        <f>VLOOKUP(A323,SAP!$1:$1048576,2,FALSE)</f>
        <v>Klamka R-line 32mm 200 R06.2M ALV</v>
      </c>
      <c r="C323" s="6">
        <f t="shared" si="35"/>
        <v>1</v>
      </c>
      <c r="D323" s="6">
        <f t="shared" si="36"/>
        <v>0</v>
      </c>
      <c r="E323" s="6">
        <f>IF($E$315=8,1,IF($E$315&lt;&gt;8,0))</f>
        <v>0</v>
      </c>
      <c r="F323" s="6">
        <f t="shared" si="37"/>
        <v>0</v>
      </c>
      <c r="G323" s="6">
        <f t="shared" si="38"/>
        <v>0</v>
      </c>
      <c r="H323" s="6">
        <f t="shared" si="39"/>
        <v>1</v>
      </c>
      <c r="I323" s="6">
        <f t="shared" si="40"/>
        <v>0</v>
      </c>
      <c r="J323" s="6">
        <f>IF($J$315=8,1,IF($J$315&lt;&gt;8,0))</f>
        <v>0</v>
      </c>
      <c r="K323" s="6">
        <f t="shared" si="41"/>
        <v>0</v>
      </c>
      <c r="L323" s="6">
        <f t="shared" si="42"/>
        <v>0</v>
      </c>
    </row>
    <row r="324" spans="1:12" s="6" customFormat="1" hidden="1" x14ac:dyDescent="0.25">
      <c r="A324" s="6">
        <v>786395</v>
      </c>
      <c r="B324" s="6" t="str">
        <f>VLOOKUP(A324,SAP!$1:$1048576,2,FALSE)</f>
        <v>Klamka R-line 32mm 200 R07.2 ALV</v>
      </c>
      <c r="C324" s="6">
        <f t="shared" si="35"/>
        <v>1</v>
      </c>
      <c r="D324" s="6">
        <f t="shared" si="36"/>
        <v>0</v>
      </c>
      <c r="E324" s="6">
        <f>IF($E$315=9,1,IF($E$315&lt;&gt;9,0))</f>
        <v>0</v>
      </c>
      <c r="F324" s="6">
        <f t="shared" si="37"/>
        <v>0</v>
      </c>
      <c r="G324" s="6">
        <f t="shared" si="38"/>
        <v>0</v>
      </c>
      <c r="H324" s="6">
        <f t="shared" si="39"/>
        <v>1</v>
      </c>
      <c r="I324" s="6">
        <f t="shared" si="40"/>
        <v>0</v>
      </c>
      <c r="J324" s="6">
        <f>IF($J$315=9,1,IF($J$315&lt;&gt;9,0))</f>
        <v>0</v>
      </c>
      <c r="K324" s="6">
        <f t="shared" si="41"/>
        <v>0</v>
      </c>
      <c r="L324" s="6">
        <f t="shared" si="42"/>
        <v>0</v>
      </c>
    </row>
    <row r="325" spans="1:12" s="6" customFormat="1" hidden="1" x14ac:dyDescent="0.25">
      <c r="A325" s="6">
        <v>786717</v>
      </c>
      <c r="B325" s="6" t="str">
        <f>VLOOKUP(A325,SAP!$1:$1048576,2,FALSE)</f>
        <v>Klamka R-line 32mm 200 R07.3 ALV</v>
      </c>
      <c r="C325" s="6">
        <f t="shared" si="35"/>
        <v>1</v>
      </c>
      <c r="D325" s="6">
        <f t="shared" si="36"/>
        <v>0</v>
      </c>
      <c r="E325" s="6">
        <f>IF($E$315=10,1,IF($E$315&lt;&gt;10,0))</f>
        <v>0</v>
      </c>
      <c r="F325" s="6">
        <f t="shared" si="37"/>
        <v>0</v>
      </c>
      <c r="G325" s="6">
        <f t="shared" si="38"/>
        <v>0</v>
      </c>
      <c r="H325" s="6">
        <f t="shared" si="39"/>
        <v>1</v>
      </c>
      <c r="I325" s="6">
        <f t="shared" si="40"/>
        <v>0</v>
      </c>
      <c r="J325" s="6">
        <f>IF($J$315=10,1,IF($J$315&lt;&gt;10,0))</f>
        <v>0</v>
      </c>
      <c r="K325" s="6">
        <f t="shared" si="41"/>
        <v>0</v>
      </c>
      <c r="L325" s="6">
        <f t="shared" si="42"/>
        <v>0</v>
      </c>
    </row>
    <row r="326" spans="1:12" s="6" customFormat="1" hidden="1" x14ac:dyDescent="0.25">
      <c r="A326" s="6">
        <v>780549</v>
      </c>
      <c r="B326" s="6" t="str">
        <f>VLOOKUP(A326,SAP!$1:$1048576,2,FALSE)</f>
        <v>Klamka R-line 37mm 200 R01.1 ALV</v>
      </c>
      <c r="C326" s="6">
        <f t="shared" si="35"/>
        <v>1</v>
      </c>
      <c r="D326" s="6">
        <f>IF($D$315=2,1,IF($D$315&lt;&gt;2,0))</f>
        <v>0</v>
      </c>
      <c r="E326" s="6">
        <f>IF($E$315=1,1,IF($E$315&lt;&gt;1,0))</f>
        <v>1</v>
      </c>
      <c r="F326" s="6">
        <f t="shared" si="37"/>
        <v>0</v>
      </c>
      <c r="G326" s="6">
        <f t="shared" si="38"/>
        <v>0</v>
      </c>
      <c r="H326" s="6">
        <f t="shared" si="39"/>
        <v>1</v>
      </c>
      <c r="I326" s="6">
        <f>IF($I$315=2,1,IF($I$315&lt;&gt;2,0))</f>
        <v>0</v>
      </c>
      <c r="J326" s="6">
        <f>IF($J$315=1,1,IF($J$315&lt;&gt;1,0))</f>
        <v>1</v>
      </c>
      <c r="K326" s="6">
        <f t="shared" si="41"/>
        <v>0</v>
      </c>
      <c r="L326" s="6">
        <f t="shared" si="42"/>
        <v>0</v>
      </c>
    </row>
    <row r="327" spans="1:12" s="6" customFormat="1" hidden="1" x14ac:dyDescent="0.25">
      <c r="A327" s="6">
        <v>786517</v>
      </c>
      <c r="B327" s="6" t="str">
        <f>VLOOKUP(A327,SAP!$1:$1048576,2,FALSE)</f>
        <v>Klamka R-line 37mm 200 R01.2 ALV</v>
      </c>
      <c r="C327" s="6">
        <f t="shared" si="35"/>
        <v>1</v>
      </c>
      <c r="D327" s="6">
        <f t="shared" ref="D327:D335" si="43">IF($D$315=2,1,IF($D$315&lt;&gt;2,0))</f>
        <v>0</v>
      </c>
      <c r="E327" s="6">
        <f>IF($E$315=2,1,IF($E$315&lt;&gt;2,0))</f>
        <v>0</v>
      </c>
      <c r="F327" s="6">
        <f t="shared" si="37"/>
        <v>0</v>
      </c>
      <c r="G327" s="6">
        <f t="shared" si="38"/>
        <v>0</v>
      </c>
      <c r="H327" s="6">
        <f t="shared" si="39"/>
        <v>1</v>
      </c>
      <c r="I327" s="6">
        <f t="shared" ref="I327:I335" si="44">IF($I$315=2,1,IF($I$315&lt;&gt;2,0))</f>
        <v>0</v>
      </c>
      <c r="J327" s="6">
        <f>IF($J$315=2,1,IF($J$315&lt;&gt;2,0))</f>
        <v>0</v>
      </c>
      <c r="K327" s="6">
        <f t="shared" si="41"/>
        <v>0</v>
      </c>
      <c r="L327" s="6">
        <f t="shared" si="42"/>
        <v>0</v>
      </c>
    </row>
    <row r="328" spans="1:12" s="6" customFormat="1" hidden="1" x14ac:dyDescent="0.25">
      <c r="A328" s="6">
        <v>780552</v>
      </c>
      <c r="B328" s="6" t="str">
        <f>VLOOKUP(A328,SAP!$1:$1048576,2,FALSE)</f>
        <v>Klamka R-line 37mm 200 R01.3 ALV</v>
      </c>
      <c r="C328" s="6">
        <f t="shared" si="35"/>
        <v>1</v>
      </c>
      <c r="D328" s="6">
        <f t="shared" si="43"/>
        <v>0</v>
      </c>
      <c r="E328" s="6">
        <f>IF($E$315=3,1,IF($E$315&lt;&gt;3,0))</f>
        <v>0</v>
      </c>
      <c r="F328" s="6">
        <f t="shared" si="37"/>
        <v>0</v>
      </c>
      <c r="G328" s="6">
        <f t="shared" si="38"/>
        <v>0</v>
      </c>
      <c r="H328" s="6">
        <f t="shared" si="39"/>
        <v>1</v>
      </c>
      <c r="I328" s="6">
        <f t="shared" si="44"/>
        <v>0</v>
      </c>
      <c r="J328" s="6">
        <f>IF($J$315=3,1,IF($J$315&lt;&gt;3,0))</f>
        <v>0</v>
      </c>
      <c r="K328" s="6">
        <f t="shared" si="41"/>
        <v>0</v>
      </c>
      <c r="L328" s="6">
        <f t="shared" si="42"/>
        <v>0</v>
      </c>
    </row>
    <row r="329" spans="1:12" s="6" customFormat="1" hidden="1" x14ac:dyDescent="0.25">
      <c r="A329" s="6">
        <v>786519</v>
      </c>
      <c r="B329" s="6" t="str">
        <f>VLOOKUP(A329,SAP!$1:$1048576,2,FALSE)</f>
        <v>Klamka R-line 37mm 200 R01.5 ALV</v>
      </c>
      <c r="C329" s="6">
        <f t="shared" si="35"/>
        <v>1</v>
      </c>
      <c r="D329" s="6">
        <f t="shared" si="43"/>
        <v>0</v>
      </c>
      <c r="E329" s="6">
        <f>IF($E$315=4,1,IF($E$315&lt;&gt;4,0))</f>
        <v>0</v>
      </c>
      <c r="F329" s="6">
        <f t="shared" si="37"/>
        <v>0</v>
      </c>
      <c r="G329" s="6">
        <f t="shared" si="38"/>
        <v>0</v>
      </c>
      <c r="H329" s="6">
        <f t="shared" si="39"/>
        <v>1</v>
      </c>
      <c r="I329" s="6">
        <f t="shared" si="44"/>
        <v>0</v>
      </c>
      <c r="J329" s="6">
        <f>IF($J$315=4,1,IF($J$315&lt;&gt;4,0))</f>
        <v>0</v>
      </c>
      <c r="K329" s="6">
        <f t="shared" si="41"/>
        <v>0</v>
      </c>
      <c r="L329" s="6">
        <f t="shared" si="42"/>
        <v>0</v>
      </c>
    </row>
    <row r="330" spans="1:12" s="6" customFormat="1" hidden="1" x14ac:dyDescent="0.25">
      <c r="A330" s="6">
        <v>780575</v>
      </c>
      <c r="B330" s="6" t="str">
        <f>VLOOKUP(A330,SAP!$1:$1048576,2,FALSE)</f>
        <v>Klamka R-line 37mm 200 R05.3 ALV</v>
      </c>
      <c r="C330" s="6">
        <f t="shared" si="35"/>
        <v>1</v>
      </c>
      <c r="D330" s="6">
        <f t="shared" si="43"/>
        <v>0</v>
      </c>
      <c r="E330" s="6">
        <f>IF($E$315=5,1,IF($E$315&lt;&gt;5,0))</f>
        <v>0</v>
      </c>
      <c r="F330" s="6">
        <f t="shared" si="37"/>
        <v>0</v>
      </c>
      <c r="G330" s="6">
        <f t="shared" si="38"/>
        <v>0</v>
      </c>
      <c r="H330" s="6">
        <f t="shared" si="39"/>
        <v>1</v>
      </c>
      <c r="I330" s="6">
        <f t="shared" si="44"/>
        <v>0</v>
      </c>
      <c r="J330" s="6">
        <f>IF($J$315=5,1,IF($J$315&lt;&gt;5,0))</f>
        <v>0</v>
      </c>
      <c r="K330" s="6">
        <f t="shared" si="41"/>
        <v>0</v>
      </c>
      <c r="L330" s="6">
        <f t="shared" si="42"/>
        <v>0</v>
      </c>
    </row>
    <row r="331" spans="1:12" s="6" customFormat="1" hidden="1" x14ac:dyDescent="0.25">
      <c r="A331" s="6">
        <v>780576</v>
      </c>
      <c r="B331" s="6" t="str">
        <f>VLOOKUP(A331,SAP!$1:$1048576,2,FALSE)</f>
        <v>Klamka R-line 37mm 200 R05.4 ALV</v>
      </c>
      <c r="C331" s="6">
        <f t="shared" si="35"/>
        <v>1</v>
      </c>
      <c r="D331" s="6">
        <f t="shared" si="43"/>
        <v>0</v>
      </c>
      <c r="E331" s="6">
        <f>IF($E$315=6,1,IF($E$315&lt;&gt;6,0))</f>
        <v>0</v>
      </c>
      <c r="F331" s="6">
        <f t="shared" si="37"/>
        <v>0</v>
      </c>
      <c r="G331" s="6">
        <f t="shared" si="38"/>
        <v>0</v>
      </c>
      <c r="H331" s="6">
        <f t="shared" si="39"/>
        <v>1</v>
      </c>
      <c r="I331" s="6">
        <f t="shared" si="44"/>
        <v>0</v>
      </c>
      <c r="J331" s="6">
        <f>IF($J$315=6,1,IF($J$315&lt;&gt;6,0))</f>
        <v>0</v>
      </c>
      <c r="K331" s="6">
        <f t="shared" si="41"/>
        <v>0</v>
      </c>
      <c r="L331" s="6">
        <f t="shared" si="42"/>
        <v>0</v>
      </c>
    </row>
    <row r="332" spans="1:12" s="6" customFormat="1" hidden="1" x14ac:dyDescent="0.25">
      <c r="A332" s="6">
        <v>780577</v>
      </c>
      <c r="B332" s="6" t="str">
        <f>VLOOKUP(A332,SAP!$1:$1048576,2,FALSE)</f>
        <v>Klamka R-line 37mm 200 R05.5 ALV</v>
      </c>
      <c r="C332" s="6">
        <f t="shared" si="35"/>
        <v>1</v>
      </c>
      <c r="D332" s="6">
        <f t="shared" si="43"/>
        <v>0</v>
      </c>
      <c r="E332" s="6">
        <f>IF($E$315=7,1,IF($E$315&lt;&gt;7,0))</f>
        <v>0</v>
      </c>
      <c r="F332" s="6">
        <f t="shared" si="37"/>
        <v>0</v>
      </c>
      <c r="G332" s="6">
        <f t="shared" si="38"/>
        <v>0</v>
      </c>
      <c r="H332" s="6">
        <f t="shared" si="39"/>
        <v>1</v>
      </c>
      <c r="I332" s="6">
        <f t="shared" si="44"/>
        <v>0</v>
      </c>
      <c r="J332" s="6">
        <f>IF($J$315=7,1,IF($J$315&lt;&gt;7,0))</f>
        <v>0</v>
      </c>
      <c r="K332" s="6">
        <f t="shared" si="41"/>
        <v>0</v>
      </c>
      <c r="L332" s="6">
        <f t="shared" si="42"/>
        <v>0</v>
      </c>
    </row>
    <row r="333" spans="1:12" s="6" customFormat="1" hidden="1" x14ac:dyDescent="0.25">
      <c r="A333" s="6">
        <v>786715</v>
      </c>
      <c r="B333" s="6" t="str">
        <f>VLOOKUP(A333,SAP!$1:$1048576,2,FALSE)</f>
        <v>Klamka R-line 37mm 200 R06.2M ALV</v>
      </c>
      <c r="C333" s="6">
        <f t="shared" si="35"/>
        <v>1</v>
      </c>
      <c r="D333" s="6">
        <f t="shared" si="43"/>
        <v>0</v>
      </c>
      <c r="E333" s="6">
        <f>IF($E$315=8,1,IF($E$315&lt;&gt;8,0))</f>
        <v>0</v>
      </c>
      <c r="F333" s="6">
        <f t="shared" si="37"/>
        <v>0</v>
      </c>
      <c r="G333" s="6">
        <f t="shared" si="38"/>
        <v>0</v>
      </c>
      <c r="H333" s="6">
        <f t="shared" si="39"/>
        <v>1</v>
      </c>
      <c r="I333" s="6">
        <f t="shared" si="44"/>
        <v>0</v>
      </c>
      <c r="J333" s="6">
        <f>IF($J$315=8,1,IF($J$315&lt;&gt;8,0))</f>
        <v>0</v>
      </c>
      <c r="K333" s="6">
        <f t="shared" si="41"/>
        <v>0</v>
      </c>
      <c r="L333" s="6">
        <f t="shared" si="42"/>
        <v>0</v>
      </c>
    </row>
    <row r="334" spans="1:12" s="6" customFormat="1" hidden="1" x14ac:dyDescent="0.25">
      <c r="A334" s="6">
        <v>780578</v>
      </c>
      <c r="B334" s="6" t="str">
        <f>VLOOKUP(A334,SAP!$1:$1048576,2,FALSE)</f>
        <v>Klamka R-line 37mm 200 R07.2 ALV</v>
      </c>
      <c r="C334" s="6">
        <f t="shared" si="35"/>
        <v>1</v>
      </c>
      <c r="D334" s="6">
        <f t="shared" si="43"/>
        <v>0</v>
      </c>
      <c r="E334" s="6">
        <f>IF($E$315=9,1,IF($E$315&lt;&gt;9,0))</f>
        <v>0</v>
      </c>
      <c r="F334" s="6">
        <f t="shared" si="37"/>
        <v>0</v>
      </c>
      <c r="G334" s="6">
        <f t="shared" si="38"/>
        <v>0</v>
      </c>
      <c r="H334" s="6">
        <f t="shared" si="39"/>
        <v>1</v>
      </c>
      <c r="I334" s="6">
        <f t="shared" si="44"/>
        <v>0</v>
      </c>
      <c r="J334" s="6">
        <f>IF($J$315=9,1,IF($J$315&lt;&gt;9,0))</f>
        <v>0</v>
      </c>
      <c r="K334" s="6">
        <f t="shared" si="41"/>
        <v>0</v>
      </c>
      <c r="L334" s="6">
        <f t="shared" si="42"/>
        <v>0</v>
      </c>
    </row>
    <row r="335" spans="1:12" s="6" customFormat="1" hidden="1" x14ac:dyDescent="0.25">
      <c r="A335" s="6">
        <v>780579</v>
      </c>
      <c r="B335" s="6" t="str">
        <f>VLOOKUP(A335,SAP!$1:$1048576,2,FALSE)</f>
        <v>Klamka R-line 37mm 200 R07.3 ALV</v>
      </c>
      <c r="C335" s="6">
        <f t="shared" si="35"/>
        <v>1</v>
      </c>
      <c r="D335" s="6">
        <f t="shared" si="43"/>
        <v>0</v>
      </c>
      <c r="E335" s="6">
        <f>IF($E$315=10,1,IF($E$315&lt;&gt;10,0))</f>
        <v>0</v>
      </c>
      <c r="F335" s="6">
        <f t="shared" si="37"/>
        <v>0</v>
      </c>
      <c r="G335" s="6">
        <f t="shared" si="38"/>
        <v>0</v>
      </c>
      <c r="H335" s="6">
        <f t="shared" si="39"/>
        <v>1</v>
      </c>
      <c r="I335" s="6">
        <f t="shared" si="44"/>
        <v>0</v>
      </c>
      <c r="J335" s="6">
        <f>IF($J$315=10,1,IF($J$315&lt;&gt;10,0))</f>
        <v>0</v>
      </c>
      <c r="K335" s="6">
        <f t="shared" si="41"/>
        <v>0</v>
      </c>
      <c r="L335" s="6">
        <f t="shared" si="42"/>
        <v>0</v>
      </c>
    </row>
    <row r="336" spans="1:12" s="6" customFormat="1" hidden="1" x14ac:dyDescent="0.25">
      <c r="A336" s="6">
        <v>780551</v>
      </c>
      <c r="B336" s="6" t="str">
        <f>VLOOKUP(A336,SAP!$1:$1048576,2,FALSE)</f>
        <v>Klamka R-line 43mm 200 R01.1 ALV</v>
      </c>
      <c r="C336" s="6">
        <f t="shared" si="35"/>
        <v>1</v>
      </c>
      <c r="D336" s="6">
        <f>IF($D$315=3,1,IF($D$315&lt;&gt;3,0))</f>
        <v>1</v>
      </c>
      <c r="E336" s="6">
        <f>IF($E$315=1,1,IF($E$315&lt;&gt;1,0))</f>
        <v>1</v>
      </c>
      <c r="F336" s="6">
        <f t="shared" si="37"/>
        <v>1</v>
      </c>
      <c r="G336" s="6">
        <f t="shared" si="38"/>
        <v>780551</v>
      </c>
      <c r="H336" s="6">
        <f t="shared" si="39"/>
        <v>1</v>
      </c>
      <c r="I336" s="6">
        <f>IF($I$315=3,1,IF($I$315&lt;&gt;3,0))</f>
        <v>1</v>
      </c>
      <c r="J336" s="6">
        <f>IF($J$315=1,1,IF($J$315&lt;&gt;1,0))</f>
        <v>1</v>
      </c>
      <c r="K336" s="6">
        <f t="shared" si="41"/>
        <v>1</v>
      </c>
      <c r="L336" s="6">
        <f t="shared" si="42"/>
        <v>780551</v>
      </c>
    </row>
    <row r="337" spans="1:12" s="6" customFormat="1" hidden="1" x14ac:dyDescent="0.25">
      <c r="A337" s="6">
        <v>786518</v>
      </c>
      <c r="B337" s="6" t="str">
        <f>VLOOKUP(A337,SAP!$1:$1048576,2,FALSE)</f>
        <v>Klamka R-line 43mm 200 R01.2 ALV</v>
      </c>
      <c r="C337" s="6">
        <f t="shared" si="35"/>
        <v>1</v>
      </c>
      <c r="D337" s="6">
        <f t="shared" ref="D337:D346" si="45">IF($D$315=3,1,IF($D$315&lt;&gt;3,0))</f>
        <v>1</v>
      </c>
      <c r="E337" s="6">
        <f>IF($E$315=2,1,IF($E$315&lt;&gt;2,0))</f>
        <v>0</v>
      </c>
      <c r="F337" s="6">
        <f t="shared" si="37"/>
        <v>0</v>
      </c>
      <c r="G337" s="6">
        <f t="shared" si="38"/>
        <v>0</v>
      </c>
      <c r="H337" s="6">
        <f t="shared" si="39"/>
        <v>1</v>
      </c>
      <c r="I337" s="6">
        <f t="shared" ref="I337:I346" si="46">IF($I$315=3,1,IF($I$315&lt;&gt;3,0))</f>
        <v>1</v>
      </c>
      <c r="J337" s="6">
        <f>IF($J$315=2,1,IF($J$315&lt;&gt;2,0))</f>
        <v>0</v>
      </c>
      <c r="K337" s="6">
        <f t="shared" si="41"/>
        <v>0</v>
      </c>
      <c r="L337" s="6">
        <f t="shared" si="42"/>
        <v>0</v>
      </c>
    </row>
    <row r="338" spans="1:12" s="6" customFormat="1" hidden="1" x14ac:dyDescent="0.25">
      <c r="A338" s="6">
        <v>780580</v>
      </c>
      <c r="B338" s="6" t="str">
        <f>VLOOKUP(A338,SAP!$1:$1048576,2,FALSE)</f>
        <v>Klamka R-line 43mm 200 R01.3 ALV</v>
      </c>
      <c r="C338" s="6">
        <f t="shared" si="35"/>
        <v>1</v>
      </c>
      <c r="D338" s="6">
        <f t="shared" si="45"/>
        <v>1</v>
      </c>
      <c r="E338" s="6">
        <f>IF($E$315=3,1,IF($E$315&lt;&gt;3,0))</f>
        <v>0</v>
      </c>
      <c r="F338" s="6">
        <f t="shared" si="37"/>
        <v>0</v>
      </c>
      <c r="G338" s="6">
        <f t="shared" si="38"/>
        <v>0</v>
      </c>
      <c r="H338" s="6">
        <f t="shared" si="39"/>
        <v>1</v>
      </c>
      <c r="I338" s="6">
        <f t="shared" si="46"/>
        <v>1</v>
      </c>
      <c r="J338" s="6">
        <f>IF($J$315=3,1,IF($J$315&lt;&gt;3,0))</f>
        <v>0</v>
      </c>
      <c r="K338" s="6">
        <f t="shared" si="41"/>
        <v>0</v>
      </c>
      <c r="L338" s="6">
        <f t="shared" si="42"/>
        <v>0</v>
      </c>
    </row>
    <row r="339" spans="1:12" s="6" customFormat="1" hidden="1" x14ac:dyDescent="0.25">
      <c r="A339" s="6">
        <v>786672</v>
      </c>
      <c r="B339" s="6" t="str">
        <f>VLOOKUP(A339,SAP!$1:$1048576,2,FALSE)</f>
        <v>Klamka R-line 43mm 200 R01.5 ALV</v>
      </c>
      <c r="C339" s="6">
        <f t="shared" si="35"/>
        <v>1</v>
      </c>
      <c r="D339" s="6">
        <f t="shared" si="45"/>
        <v>1</v>
      </c>
      <c r="E339" s="6">
        <f>IF($E$315=4,1,IF($E$315&lt;&gt;4,0))</f>
        <v>0</v>
      </c>
      <c r="F339" s="6">
        <f t="shared" si="37"/>
        <v>0</v>
      </c>
      <c r="G339" s="6">
        <f t="shared" si="38"/>
        <v>0</v>
      </c>
      <c r="H339" s="6">
        <f t="shared" si="39"/>
        <v>1</v>
      </c>
      <c r="I339" s="6">
        <f t="shared" si="46"/>
        <v>1</v>
      </c>
      <c r="J339" s="6">
        <f>IF($J$315=4,1,IF($J$315&lt;&gt;4,0))</f>
        <v>0</v>
      </c>
      <c r="K339" s="6">
        <f t="shared" si="41"/>
        <v>0</v>
      </c>
      <c r="L339" s="6">
        <f t="shared" si="42"/>
        <v>0</v>
      </c>
    </row>
    <row r="340" spans="1:12" s="6" customFormat="1" hidden="1" x14ac:dyDescent="0.25">
      <c r="A340" s="6">
        <v>820797</v>
      </c>
      <c r="B340" s="6" t="str">
        <f>VLOOKUP(A340,SAP!$1:$1048576,2,FALSE)</f>
        <v>Klamka R-line 43mm 200 R02.2 ALV</v>
      </c>
      <c r="C340" s="6">
        <f t="shared" si="35"/>
        <v>1</v>
      </c>
      <c r="D340" s="6">
        <f t="shared" si="45"/>
        <v>1</v>
      </c>
      <c r="E340" s="6">
        <f>IF($E$315=5,1,IF($E$315&lt;&gt;5,0))</f>
        <v>0</v>
      </c>
      <c r="F340" s="6">
        <f t="shared" ref="F340" si="47">C340*D340*E340</f>
        <v>0</v>
      </c>
      <c r="G340" s="6">
        <f t="shared" ref="G340" si="48">F340*A340</f>
        <v>0</v>
      </c>
      <c r="H340" s="6">
        <f t="shared" si="39"/>
        <v>1</v>
      </c>
      <c r="I340" s="6">
        <f t="shared" si="46"/>
        <v>1</v>
      </c>
      <c r="J340" s="6">
        <f>IF($J$315=5,1,IF($J$315&lt;&gt;5,0))</f>
        <v>0</v>
      </c>
      <c r="K340" s="6">
        <f t="shared" ref="K340" si="49">H340*I340*J340</f>
        <v>0</v>
      </c>
      <c r="L340" s="6">
        <f t="shared" ref="L340" si="50">K340*A340</f>
        <v>0</v>
      </c>
    </row>
    <row r="341" spans="1:12" s="6" customFormat="1" hidden="1" x14ac:dyDescent="0.25">
      <c r="A341" s="6">
        <v>780581</v>
      </c>
      <c r="B341" s="6" t="str">
        <f>VLOOKUP(A341,SAP!$1:$1048576,2,FALSE)</f>
        <v>Klamka R-line 43mm 200 R05.3 ALV</v>
      </c>
      <c r="C341" s="6">
        <f t="shared" si="35"/>
        <v>1</v>
      </c>
      <c r="D341" s="6">
        <f t="shared" si="45"/>
        <v>1</v>
      </c>
      <c r="E341" s="6">
        <f>IF($E$315=6,1,IF($E$315&lt;&gt;6,0))</f>
        <v>0</v>
      </c>
      <c r="F341" s="6">
        <f t="shared" si="37"/>
        <v>0</v>
      </c>
      <c r="G341" s="6">
        <f t="shared" si="38"/>
        <v>0</v>
      </c>
      <c r="H341" s="6">
        <f t="shared" si="39"/>
        <v>1</v>
      </c>
      <c r="I341" s="6">
        <f t="shared" si="46"/>
        <v>1</v>
      </c>
      <c r="J341" s="6">
        <f>IF($J$315=6,1,IF($J$315&lt;&gt;6,0))</f>
        <v>0</v>
      </c>
      <c r="K341" s="6">
        <f t="shared" si="41"/>
        <v>0</v>
      </c>
      <c r="L341" s="6">
        <f t="shared" si="42"/>
        <v>0</v>
      </c>
    </row>
    <row r="342" spans="1:12" s="6" customFormat="1" hidden="1" x14ac:dyDescent="0.25">
      <c r="A342" s="6">
        <v>780582</v>
      </c>
      <c r="B342" s="6" t="str">
        <f>VLOOKUP(A342,SAP!$1:$1048576,2,FALSE)</f>
        <v>Klamka R-line 43mm 200 R05.4 ALV</v>
      </c>
      <c r="C342" s="6">
        <f t="shared" si="35"/>
        <v>1</v>
      </c>
      <c r="D342" s="6">
        <f t="shared" si="45"/>
        <v>1</v>
      </c>
      <c r="E342" s="6">
        <f>IF($E$315=7,1,IF($E$315&lt;&gt;7,0))</f>
        <v>0</v>
      </c>
      <c r="F342" s="6">
        <f t="shared" si="37"/>
        <v>0</v>
      </c>
      <c r="G342" s="6">
        <f t="shared" si="38"/>
        <v>0</v>
      </c>
      <c r="H342" s="6">
        <f t="shared" si="39"/>
        <v>1</v>
      </c>
      <c r="I342" s="6">
        <f t="shared" si="46"/>
        <v>1</v>
      </c>
      <c r="J342" s="6">
        <f>IF($J$315=7,1,IF($J$315&lt;&gt;7,0))</f>
        <v>0</v>
      </c>
      <c r="K342" s="6">
        <f t="shared" si="41"/>
        <v>0</v>
      </c>
      <c r="L342" s="6">
        <f t="shared" si="42"/>
        <v>0</v>
      </c>
    </row>
    <row r="343" spans="1:12" s="6" customFormat="1" hidden="1" x14ac:dyDescent="0.25">
      <c r="A343" s="6">
        <v>780583</v>
      </c>
      <c r="B343" s="6" t="str">
        <f>VLOOKUP(A343,SAP!$1:$1048576,2,FALSE)</f>
        <v>Klamka R-line 43mm 200 R05.5 ALV</v>
      </c>
      <c r="C343" s="6">
        <f t="shared" si="35"/>
        <v>1</v>
      </c>
      <c r="D343" s="6">
        <f t="shared" si="45"/>
        <v>1</v>
      </c>
      <c r="E343" s="6">
        <f>IF($E$315=8,1,IF($E$315&lt;&gt;8,0))</f>
        <v>0</v>
      </c>
      <c r="F343" s="6">
        <f t="shared" si="37"/>
        <v>0</v>
      </c>
      <c r="G343" s="6">
        <f t="shared" si="38"/>
        <v>0</v>
      </c>
      <c r="H343" s="6">
        <f t="shared" si="39"/>
        <v>1</v>
      </c>
      <c r="I343" s="6">
        <f t="shared" si="46"/>
        <v>1</v>
      </c>
      <c r="J343" s="6">
        <f>IF($J$315=8,1,IF($J$315&lt;&gt;8,0))</f>
        <v>0</v>
      </c>
      <c r="K343" s="6">
        <f t="shared" si="41"/>
        <v>0</v>
      </c>
      <c r="L343" s="6">
        <f t="shared" si="42"/>
        <v>0</v>
      </c>
    </row>
    <row r="344" spans="1:12" s="6" customFormat="1" hidden="1" x14ac:dyDescent="0.25">
      <c r="A344" s="6">
        <v>786716</v>
      </c>
      <c r="B344" s="6" t="str">
        <f>VLOOKUP(A344,SAP!$1:$1048576,2,FALSE)</f>
        <v>Klamka R-line 43mm 200 R06.2M ALV</v>
      </c>
      <c r="C344" s="6">
        <f t="shared" si="35"/>
        <v>1</v>
      </c>
      <c r="D344" s="6">
        <f t="shared" si="45"/>
        <v>1</v>
      </c>
      <c r="E344" s="6">
        <f>IF($E$315=9,1,IF($E$315&lt;&gt;9,0))</f>
        <v>0</v>
      </c>
      <c r="F344" s="6">
        <f t="shared" si="37"/>
        <v>0</v>
      </c>
      <c r="G344" s="6">
        <f t="shared" si="38"/>
        <v>0</v>
      </c>
      <c r="H344" s="6">
        <f t="shared" si="39"/>
        <v>1</v>
      </c>
      <c r="I344" s="6">
        <f t="shared" si="46"/>
        <v>1</v>
      </c>
      <c r="J344" s="6">
        <f>IF($J$315=9,1,IF($J$315&lt;&gt;9,0))</f>
        <v>0</v>
      </c>
      <c r="K344" s="6">
        <f t="shared" si="41"/>
        <v>0</v>
      </c>
      <c r="L344" s="6">
        <f t="shared" si="42"/>
        <v>0</v>
      </c>
    </row>
    <row r="345" spans="1:12" s="6" customFormat="1" hidden="1" x14ac:dyDescent="0.25">
      <c r="A345" s="6">
        <v>780584</v>
      </c>
      <c r="B345" s="6" t="str">
        <f>VLOOKUP(A345,SAP!$1:$1048576,2,FALSE)</f>
        <v>Klamka R-line 43mm 200 R07.2 ALV</v>
      </c>
      <c r="C345" s="6">
        <f t="shared" si="35"/>
        <v>1</v>
      </c>
      <c r="D345" s="6">
        <f t="shared" si="45"/>
        <v>1</v>
      </c>
      <c r="E345" s="6">
        <f>IF($E$315=10,1,IF($E$315&lt;&gt;10,0))</f>
        <v>0</v>
      </c>
      <c r="F345" s="6">
        <f t="shared" si="37"/>
        <v>0</v>
      </c>
      <c r="G345" s="6">
        <f t="shared" si="38"/>
        <v>0</v>
      </c>
      <c r="H345" s="6">
        <f t="shared" si="39"/>
        <v>1</v>
      </c>
      <c r="I345" s="6">
        <f t="shared" si="46"/>
        <v>1</v>
      </c>
      <c r="J345" s="6">
        <f>IF($J$315=10,1,IF($J$315&lt;&gt;10,0))</f>
        <v>0</v>
      </c>
      <c r="K345" s="6">
        <f t="shared" si="41"/>
        <v>0</v>
      </c>
      <c r="L345" s="6">
        <f t="shared" si="42"/>
        <v>0</v>
      </c>
    </row>
    <row r="346" spans="1:12" s="6" customFormat="1" hidden="1" x14ac:dyDescent="0.25">
      <c r="A346" s="6">
        <v>780585</v>
      </c>
      <c r="B346" s="6" t="str">
        <f>VLOOKUP(A346,SAP!$1:$1048576,2,FALSE)</f>
        <v>Klamka R-line 43mm 200 R07.3 ALV</v>
      </c>
      <c r="C346" s="6">
        <f t="shared" si="35"/>
        <v>1</v>
      </c>
      <c r="D346" s="6">
        <f t="shared" si="45"/>
        <v>1</v>
      </c>
      <c r="E346" s="6">
        <f>IF($E$315=11,1,IF($E$315&lt;&gt;11,0))</f>
        <v>0</v>
      </c>
      <c r="F346" s="6">
        <f t="shared" si="37"/>
        <v>0</v>
      </c>
      <c r="G346" s="6">
        <f t="shared" si="38"/>
        <v>0</v>
      </c>
      <c r="H346" s="6">
        <f t="shared" si="39"/>
        <v>1</v>
      </c>
      <c r="I346" s="6">
        <f t="shared" si="46"/>
        <v>1</v>
      </c>
      <c r="J346" s="6">
        <f>IF($J$315=11,1,IF($J$315&lt;&gt;11,0))</f>
        <v>0</v>
      </c>
      <c r="K346" s="6">
        <f t="shared" si="41"/>
        <v>0</v>
      </c>
      <c r="L346" s="6">
        <f t="shared" si="42"/>
        <v>0</v>
      </c>
    </row>
    <row r="347" spans="1:12" s="6" customFormat="1" hidden="1" x14ac:dyDescent="0.25">
      <c r="A347" s="6">
        <v>798992</v>
      </c>
      <c r="B347" s="6" t="str">
        <f>VLOOKUP(A347,SAP!$1:$1048576,2,FALSE)</f>
        <v>Klamka R-line/przycisk 43mm 200R01.1PIN</v>
      </c>
      <c r="C347" s="6">
        <f>IF($C$315=2,1,IF($C$315&lt;&gt;2,0))</f>
        <v>0</v>
      </c>
      <c r="D347" s="6">
        <f t="shared" ref="D347:D380" si="51">IF($D$315=3,1,IF($D$315&lt;&gt;3,0))</f>
        <v>1</v>
      </c>
      <c r="E347" s="6">
        <f>IF($E$315=1,1,IF($E$315&lt;&gt;1,0))</f>
        <v>1</v>
      </c>
      <c r="F347" s="6">
        <f t="shared" ref="F347:F349" si="52">C347*D347*E347</f>
        <v>0</v>
      </c>
      <c r="G347" s="6">
        <f t="shared" ref="G347:G349" si="53">F347*A347</f>
        <v>0</v>
      </c>
      <c r="H347" s="6">
        <f t="shared" ref="H347:H349" si="54">IF($H$315=2,1,IF($H$315&lt;&gt;2,0))</f>
        <v>0</v>
      </c>
      <c r="I347" s="6">
        <f t="shared" ref="I347:I380" si="55">IF($I$315=3,1,IF($I$315&lt;&gt;3,0))</f>
        <v>1</v>
      </c>
      <c r="J347" s="6">
        <f>IF($J$315=1,1,IF($J$315&lt;&gt;1,0))</f>
        <v>1</v>
      </c>
      <c r="K347" s="6">
        <f t="shared" ref="K347:K349" si="56">H347*I347*J347</f>
        <v>0</v>
      </c>
      <c r="L347" s="6">
        <f t="shared" ref="L347:L349" si="57">K347*A347</f>
        <v>0</v>
      </c>
    </row>
    <row r="348" spans="1:12" s="6" customFormat="1" hidden="1" x14ac:dyDescent="0.25">
      <c r="A348" s="6">
        <v>798993</v>
      </c>
      <c r="B348" s="6" t="str">
        <f>VLOOKUP(A348,SAP!$1:$1048576,2,FALSE)</f>
        <v>Klamka R-line/przycisk 43mm 200R06.2MPIN</v>
      </c>
      <c r="C348" s="6">
        <f>IF($C$315=2,1,IF($C$315&lt;&gt;2,0))</f>
        <v>0</v>
      </c>
      <c r="D348" s="6">
        <f t="shared" si="51"/>
        <v>1</v>
      </c>
      <c r="E348" s="6">
        <f>IF($E$315=9,1,IF($E$315&lt;&gt;9,0))</f>
        <v>0</v>
      </c>
      <c r="F348" s="6">
        <f t="shared" si="52"/>
        <v>0</v>
      </c>
      <c r="G348" s="6">
        <f t="shared" si="53"/>
        <v>0</v>
      </c>
      <c r="H348" s="6">
        <f t="shared" si="54"/>
        <v>0</v>
      </c>
      <c r="I348" s="6">
        <f t="shared" si="55"/>
        <v>1</v>
      </c>
      <c r="J348" s="6">
        <f>IF($J$315=9,1,IF($J$315&lt;&gt;9,0))</f>
        <v>0</v>
      </c>
      <c r="K348" s="6">
        <f t="shared" si="56"/>
        <v>0</v>
      </c>
      <c r="L348" s="6">
        <f t="shared" si="57"/>
        <v>0</v>
      </c>
    </row>
    <row r="349" spans="1:12" s="6" customFormat="1" hidden="1" x14ac:dyDescent="0.25">
      <c r="A349" s="6">
        <v>798994</v>
      </c>
      <c r="B349" s="6" t="str">
        <f>VLOOKUP(A349,SAP!$1:$1048576,2,FALSE)</f>
        <v>Klamka R-line/przycisk 43mm 200R07.2PIN</v>
      </c>
      <c r="C349" s="6">
        <f>IF($C$315=2,1,IF($C$315&lt;&gt;2,0))</f>
        <v>0</v>
      </c>
      <c r="D349" s="6">
        <f t="shared" si="51"/>
        <v>1</v>
      </c>
      <c r="E349" s="6">
        <f>IF($E$315=10,1,IF($E$315&lt;&gt;10,0))</f>
        <v>0</v>
      </c>
      <c r="F349" s="6">
        <f t="shared" si="52"/>
        <v>0</v>
      </c>
      <c r="G349" s="6">
        <f t="shared" si="53"/>
        <v>0</v>
      </c>
      <c r="H349" s="6">
        <f t="shared" si="54"/>
        <v>0</v>
      </c>
      <c r="I349" s="6">
        <f t="shared" si="55"/>
        <v>1</v>
      </c>
      <c r="J349" s="6">
        <f>IF($J$315=10,1,IF($J$315&lt;&gt;10,0))</f>
        <v>0</v>
      </c>
      <c r="K349" s="6">
        <f t="shared" si="56"/>
        <v>0</v>
      </c>
      <c r="L349" s="6">
        <f t="shared" si="57"/>
        <v>0</v>
      </c>
    </row>
    <row r="350" spans="1:12" s="6" customFormat="1" hidden="1" x14ac:dyDescent="0.25">
      <c r="A350" s="6">
        <v>786719</v>
      </c>
      <c r="B350" s="6" t="str">
        <f>VLOOKUP(A350,SAP!$1:$1048576,2,FALSE)</f>
        <v>Klamka R-line/klucz100Nm32mm200R01.1ALV</v>
      </c>
      <c r="C350" s="6">
        <f>IF($C$315=3,1,IF($C$315&lt;&gt;3,0))</f>
        <v>0</v>
      </c>
      <c r="D350" s="6">
        <f>IF($D$315=1,1,IF($D$315&lt;&gt;1,0))</f>
        <v>0</v>
      </c>
      <c r="E350" s="6">
        <f>IF($E$315=1,1,IF($E$315&lt;&gt;1,0))</f>
        <v>1</v>
      </c>
      <c r="F350" s="6">
        <f>C350*D350*E350</f>
        <v>0</v>
      </c>
      <c r="G350" s="6">
        <f>F350*A350</f>
        <v>0</v>
      </c>
      <c r="H350" s="6">
        <f>IF($H$315=3,1,IF($H$315&lt;&gt;3,0))</f>
        <v>0</v>
      </c>
      <c r="I350" s="6">
        <f>IF($I$315=1,1,IF($I$315&lt;&gt;1,0))</f>
        <v>0</v>
      </c>
      <c r="J350" s="6">
        <f>IF($J$315=1,1,IF($J$315&lt;&gt;1,0))</f>
        <v>1</v>
      </c>
      <c r="K350" s="6">
        <f t="shared" si="41"/>
        <v>0</v>
      </c>
      <c r="L350" s="6">
        <f t="shared" si="42"/>
        <v>0</v>
      </c>
    </row>
    <row r="351" spans="1:12" s="6" customFormat="1" hidden="1" x14ac:dyDescent="0.25">
      <c r="A351" s="6">
        <v>786720</v>
      </c>
      <c r="B351" s="6" t="str">
        <f>VLOOKUP(A351,SAP!$1:$1048576,2,FALSE)</f>
        <v>Klamka R-line/klucz100Nm32mm200R01.2ALV</v>
      </c>
      <c r="C351" s="6">
        <f t="shared" ref="C351:C380" si="58">IF($C$315=3,1,IF($C$315&lt;&gt;3,0))</f>
        <v>0</v>
      </c>
      <c r="D351" s="6">
        <f t="shared" ref="D351:D359" si="59">IF($D$315=1,1,IF($D$315&lt;&gt;1,0))</f>
        <v>0</v>
      </c>
      <c r="E351" s="6">
        <f>IF($E$315=2,1,IF($E$315&lt;&gt;2,0))</f>
        <v>0</v>
      </c>
      <c r="F351" s="6">
        <f t="shared" ref="F351:F380" si="60">C351*D351*E351</f>
        <v>0</v>
      </c>
      <c r="G351" s="6">
        <f t="shared" ref="G351:G380" si="61">F351*A351</f>
        <v>0</v>
      </c>
      <c r="H351" s="6">
        <f t="shared" ref="H351:H380" si="62">IF($H$315=3,1,IF($H$315&lt;&gt;3,0))</f>
        <v>0</v>
      </c>
      <c r="I351" s="6">
        <f t="shared" ref="I351:I359" si="63">IF($I$315=1,1,IF($I$315&lt;&gt;1,0))</f>
        <v>0</v>
      </c>
      <c r="J351" s="6">
        <f>IF($J$315=2,1,IF($J$315&lt;&gt;2,0))</f>
        <v>0</v>
      </c>
      <c r="K351" s="6">
        <f t="shared" si="41"/>
        <v>0</v>
      </c>
      <c r="L351" s="6">
        <f t="shared" si="42"/>
        <v>0</v>
      </c>
    </row>
    <row r="352" spans="1:12" s="6" customFormat="1" hidden="1" x14ac:dyDescent="0.25">
      <c r="A352" s="6">
        <v>786732</v>
      </c>
      <c r="B352" s="6" t="str">
        <f>VLOOKUP(A352,SAP!$1:$1048576,2,FALSE)</f>
        <v>Klamka R-line/klucz100Nm32mm200R01.3ALV</v>
      </c>
      <c r="C352" s="6">
        <f t="shared" si="58"/>
        <v>0</v>
      </c>
      <c r="D352" s="6">
        <f t="shared" si="59"/>
        <v>0</v>
      </c>
      <c r="E352" s="6">
        <f>IF($E$315=3,1,IF($E$315&lt;&gt;3,0))</f>
        <v>0</v>
      </c>
      <c r="F352" s="6">
        <f t="shared" si="60"/>
        <v>0</v>
      </c>
      <c r="G352" s="6">
        <f t="shared" si="61"/>
        <v>0</v>
      </c>
      <c r="H352" s="6">
        <f t="shared" si="62"/>
        <v>0</v>
      </c>
      <c r="I352" s="6">
        <f t="shared" si="63"/>
        <v>0</v>
      </c>
      <c r="J352" s="6">
        <f>IF($J$315=3,1,IF($J$315&lt;&gt;3,0))</f>
        <v>0</v>
      </c>
      <c r="K352" s="6">
        <f t="shared" si="41"/>
        <v>0</v>
      </c>
      <c r="L352" s="6">
        <f t="shared" si="42"/>
        <v>0</v>
      </c>
    </row>
    <row r="353" spans="1:12" s="6" customFormat="1" hidden="1" x14ac:dyDescent="0.25">
      <c r="A353" s="6">
        <v>786733</v>
      </c>
      <c r="B353" s="6" t="str">
        <f>VLOOKUP(A353,SAP!$1:$1048576,2,FALSE)</f>
        <v>Klamka R-line/klucz100Nm32mm200R01.5ALV</v>
      </c>
      <c r="C353" s="6">
        <f t="shared" si="58"/>
        <v>0</v>
      </c>
      <c r="D353" s="6">
        <f t="shared" si="59"/>
        <v>0</v>
      </c>
      <c r="E353" s="6">
        <f>IF($E$315=4,1,IF($E$315&lt;&gt;4,0))</f>
        <v>0</v>
      </c>
      <c r="F353" s="6">
        <f t="shared" si="60"/>
        <v>0</v>
      </c>
      <c r="G353" s="6">
        <f t="shared" si="61"/>
        <v>0</v>
      </c>
      <c r="H353" s="6">
        <f t="shared" si="62"/>
        <v>0</v>
      </c>
      <c r="I353" s="6">
        <f t="shared" si="63"/>
        <v>0</v>
      </c>
      <c r="J353" s="6">
        <f>IF($J$315=4,1,IF($J$315&lt;&gt;4,0))</f>
        <v>0</v>
      </c>
      <c r="K353" s="6">
        <f t="shared" si="41"/>
        <v>0</v>
      </c>
      <c r="L353" s="6">
        <f t="shared" si="42"/>
        <v>0</v>
      </c>
    </row>
    <row r="354" spans="1:12" s="6" customFormat="1" hidden="1" x14ac:dyDescent="0.25">
      <c r="A354" s="6">
        <v>786397</v>
      </c>
      <c r="B354" s="6" t="str">
        <f>VLOOKUP(A354,SAP!$1:$1048576,2,FALSE)</f>
        <v>Klamka R-line/klucz100Nm32mm200R05.3ALV</v>
      </c>
      <c r="C354" s="6">
        <f t="shared" si="58"/>
        <v>0</v>
      </c>
      <c r="D354" s="6">
        <f t="shared" si="59"/>
        <v>0</v>
      </c>
      <c r="E354" s="6">
        <f>IF($E$315=5,1,IF($E$315&lt;&gt;5,0))</f>
        <v>0</v>
      </c>
      <c r="F354" s="6">
        <f t="shared" si="60"/>
        <v>0</v>
      </c>
      <c r="G354" s="6">
        <f t="shared" si="61"/>
        <v>0</v>
      </c>
      <c r="H354" s="6">
        <f t="shared" si="62"/>
        <v>0</v>
      </c>
      <c r="I354" s="6">
        <f t="shared" si="63"/>
        <v>0</v>
      </c>
      <c r="J354" s="6">
        <f>IF($J$315=5,1,IF($J$315&lt;&gt;5,0))</f>
        <v>0</v>
      </c>
      <c r="K354" s="6">
        <f t="shared" si="41"/>
        <v>0</v>
      </c>
      <c r="L354" s="6">
        <f t="shared" si="42"/>
        <v>0</v>
      </c>
    </row>
    <row r="355" spans="1:12" s="6" customFormat="1" hidden="1" x14ac:dyDescent="0.25">
      <c r="A355" s="6">
        <v>786398</v>
      </c>
      <c r="B355" s="6" t="str">
        <f>VLOOKUP(A355,SAP!$1:$1048576,2,FALSE)</f>
        <v>Klamka R-line/klucz100Nm32mm200R05.4ALV</v>
      </c>
      <c r="C355" s="6">
        <f t="shared" si="58"/>
        <v>0</v>
      </c>
      <c r="D355" s="6">
        <f t="shared" si="59"/>
        <v>0</v>
      </c>
      <c r="E355" s="6">
        <f>IF($E$315=6,1,IF($E$315&lt;&gt;6,0))</f>
        <v>0</v>
      </c>
      <c r="F355" s="6">
        <f t="shared" si="60"/>
        <v>0</v>
      </c>
      <c r="G355" s="6">
        <f t="shared" si="61"/>
        <v>0</v>
      </c>
      <c r="H355" s="6">
        <f t="shared" si="62"/>
        <v>0</v>
      </c>
      <c r="I355" s="6">
        <f t="shared" si="63"/>
        <v>0</v>
      </c>
      <c r="J355" s="6">
        <f>IF($J$315=6,1,IF($J$315&lt;&gt;6,0))</f>
        <v>0</v>
      </c>
      <c r="K355" s="6">
        <f t="shared" si="41"/>
        <v>0</v>
      </c>
      <c r="L355" s="6">
        <f t="shared" si="42"/>
        <v>0</v>
      </c>
    </row>
    <row r="356" spans="1:12" s="6" customFormat="1" hidden="1" x14ac:dyDescent="0.25">
      <c r="A356" s="6">
        <v>787000</v>
      </c>
      <c r="B356" s="6" t="str">
        <f>VLOOKUP(A356,SAP!$1:$1048576,2,FALSE)</f>
        <v>Klamka R-line/klucz100Nm32mm200R05.5ALV</v>
      </c>
      <c r="C356" s="6">
        <f t="shared" si="58"/>
        <v>0</v>
      </c>
      <c r="D356" s="6">
        <f t="shared" si="59"/>
        <v>0</v>
      </c>
      <c r="E356" s="6">
        <f>IF($E$315=7,1,IF($E$315&lt;&gt;7,0))</f>
        <v>0</v>
      </c>
      <c r="F356" s="6">
        <f t="shared" si="60"/>
        <v>0</v>
      </c>
      <c r="G356" s="6">
        <f t="shared" si="61"/>
        <v>0</v>
      </c>
      <c r="H356" s="6">
        <f t="shared" si="62"/>
        <v>0</v>
      </c>
      <c r="I356" s="6">
        <f t="shared" si="63"/>
        <v>0</v>
      </c>
      <c r="J356" s="6">
        <f>IF($J$315=7,1,IF($J$315&lt;&gt;7,0))</f>
        <v>0</v>
      </c>
      <c r="K356" s="6">
        <f t="shared" si="41"/>
        <v>0</v>
      </c>
      <c r="L356" s="6">
        <f t="shared" si="42"/>
        <v>0</v>
      </c>
    </row>
    <row r="357" spans="1:12" s="6" customFormat="1" hidden="1" x14ac:dyDescent="0.25">
      <c r="A357" s="6">
        <v>787002</v>
      </c>
      <c r="B357" s="6" t="str">
        <f>VLOOKUP(A357,SAP!$1:$1048576,2,FALSE)</f>
        <v>Klamka R-line/klucz100Nm32mm200R06.2MALV</v>
      </c>
      <c r="C357" s="6">
        <f t="shared" si="58"/>
        <v>0</v>
      </c>
      <c r="D357" s="6">
        <f t="shared" si="59"/>
        <v>0</v>
      </c>
      <c r="E357" s="6">
        <f>IF($E$315=8,1,IF($E$315&lt;&gt;8,0))</f>
        <v>0</v>
      </c>
      <c r="F357" s="6">
        <f t="shared" si="60"/>
        <v>0</v>
      </c>
      <c r="G357" s="6">
        <f t="shared" si="61"/>
        <v>0</v>
      </c>
      <c r="H357" s="6">
        <f t="shared" si="62"/>
        <v>0</v>
      </c>
      <c r="I357" s="6">
        <f t="shared" si="63"/>
        <v>0</v>
      </c>
      <c r="J357" s="6">
        <f>IF($J$315=8,1,IF($J$315&lt;&gt;8,0))</f>
        <v>0</v>
      </c>
      <c r="K357" s="6">
        <f t="shared" si="41"/>
        <v>0</v>
      </c>
      <c r="L357" s="6">
        <f t="shared" si="42"/>
        <v>0</v>
      </c>
    </row>
    <row r="358" spans="1:12" s="6" customFormat="1" hidden="1" x14ac:dyDescent="0.25">
      <c r="A358" s="6">
        <v>786399</v>
      </c>
      <c r="B358" s="6" t="str">
        <f>VLOOKUP(A358,SAP!$1:$1048576,2,FALSE)</f>
        <v>Klamka R-line/klucz100Nm32mm200R07.2ALV</v>
      </c>
      <c r="C358" s="6">
        <f t="shared" si="58"/>
        <v>0</v>
      </c>
      <c r="D358" s="6">
        <f t="shared" si="59"/>
        <v>0</v>
      </c>
      <c r="E358" s="6">
        <f>IF($E$315=9,1,IF($E$315&lt;&gt;9,0))</f>
        <v>0</v>
      </c>
      <c r="F358" s="6">
        <f t="shared" si="60"/>
        <v>0</v>
      </c>
      <c r="G358" s="6">
        <f t="shared" si="61"/>
        <v>0</v>
      </c>
      <c r="H358" s="6">
        <f t="shared" si="62"/>
        <v>0</v>
      </c>
      <c r="I358" s="6">
        <f t="shared" si="63"/>
        <v>0</v>
      </c>
      <c r="J358" s="6">
        <f>IF($J$315=9,1,IF($J$315&lt;&gt;9,0))</f>
        <v>0</v>
      </c>
      <c r="K358" s="6">
        <f t="shared" si="41"/>
        <v>0</v>
      </c>
      <c r="L358" s="6">
        <f t="shared" si="42"/>
        <v>0</v>
      </c>
    </row>
    <row r="359" spans="1:12" s="6" customFormat="1" hidden="1" x14ac:dyDescent="0.25">
      <c r="A359" s="6">
        <v>787001</v>
      </c>
      <c r="B359" s="6" t="str">
        <f>VLOOKUP(A359,SAP!$1:$1048576,2,FALSE)</f>
        <v>Klamka R-line/klucz100Nm32mm200R07.3ALV</v>
      </c>
      <c r="C359" s="6">
        <f t="shared" si="58"/>
        <v>0</v>
      </c>
      <c r="D359" s="6">
        <f t="shared" si="59"/>
        <v>0</v>
      </c>
      <c r="E359" s="6">
        <f>IF($E$315=10,1,IF($E$315&lt;&gt;10,0))</f>
        <v>0</v>
      </c>
      <c r="F359" s="6">
        <f t="shared" si="60"/>
        <v>0</v>
      </c>
      <c r="G359" s="6">
        <f t="shared" si="61"/>
        <v>0</v>
      </c>
      <c r="H359" s="6">
        <f t="shared" si="62"/>
        <v>0</v>
      </c>
      <c r="I359" s="6">
        <f t="shared" si="63"/>
        <v>0</v>
      </c>
      <c r="J359" s="6">
        <f>IF($J$315=10,1,IF($J$315&lt;&gt;10,0))</f>
        <v>0</v>
      </c>
      <c r="K359" s="6">
        <f t="shared" si="41"/>
        <v>0</v>
      </c>
      <c r="L359" s="6">
        <f t="shared" si="42"/>
        <v>0</v>
      </c>
    </row>
    <row r="360" spans="1:12" s="6" customFormat="1" hidden="1" x14ac:dyDescent="0.25">
      <c r="A360" s="6">
        <v>780586</v>
      </c>
      <c r="B360" s="6" t="str">
        <f>VLOOKUP(A360,SAP!$1:$1048576,2,FALSE)</f>
        <v>Klamka R-line/klucz100Nm37mm200R01.1ALV</v>
      </c>
      <c r="C360" s="6">
        <f t="shared" si="58"/>
        <v>0</v>
      </c>
      <c r="D360" s="6">
        <f>IF($D$315=2,1,IF($D$315&lt;&gt;2,0))</f>
        <v>0</v>
      </c>
      <c r="E360" s="6">
        <f>IF($E$315=1,1,IF($E$315&lt;&gt;1,0))</f>
        <v>1</v>
      </c>
      <c r="F360" s="6">
        <f t="shared" si="60"/>
        <v>0</v>
      </c>
      <c r="G360" s="6">
        <f t="shared" si="61"/>
        <v>0</v>
      </c>
      <c r="H360" s="6">
        <f t="shared" si="62"/>
        <v>0</v>
      </c>
      <c r="I360" s="6">
        <f>IF($I$315=2,1,IF($I$315&lt;&gt;2,0))</f>
        <v>0</v>
      </c>
      <c r="J360" s="6">
        <f>IF($J$315=1,1,IF($J$315&lt;&gt;1,0))</f>
        <v>1</v>
      </c>
      <c r="K360" s="6">
        <f t="shared" si="41"/>
        <v>0</v>
      </c>
      <c r="L360" s="6">
        <f t="shared" si="42"/>
        <v>0</v>
      </c>
    </row>
    <row r="361" spans="1:12" s="6" customFormat="1" hidden="1" x14ac:dyDescent="0.25">
      <c r="A361" s="6">
        <v>786396</v>
      </c>
      <c r="B361" s="6" t="str">
        <f>VLOOKUP(A361,SAP!$1:$1048576,2,FALSE)</f>
        <v>Klamka R-line/klucz100Nm37mm200R01.2ALV</v>
      </c>
      <c r="C361" s="6">
        <f t="shared" si="58"/>
        <v>0</v>
      </c>
      <c r="D361" s="6">
        <f t="shared" ref="D361:D369" si="64">IF($D$315=2,1,IF($D$315&lt;&gt;2,0))</f>
        <v>0</v>
      </c>
      <c r="E361" s="6">
        <f>IF($E$315=2,1,IF($E$315&lt;&gt;2,0))</f>
        <v>0</v>
      </c>
      <c r="F361" s="6">
        <f t="shared" si="60"/>
        <v>0</v>
      </c>
      <c r="G361" s="6">
        <f t="shared" si="61"/>
        <v>0</v>
      </c>
      <c r="H361" s="6">
        <f t="shared" si="62"/>
        <v>0</v>
      </c>
      <c r="I361" s="6">
        <f t="shared" ref="I361:I369" si="65">IF($I$315=2,1,IF($I$315&lt;&gt;2,0))</f>
        <v>0</v>
      </c>
      <c r="J361" s="6">
        <f>IF($J$315=2,1,IF($J$315&lt;&gt;2,0))</f>
        <v>0</v>
      </c>
      <c r="K361" s="6">
        <f t="shared" si="41"/>
        <v>0</v>
      </c>
      <c r="L361" s="6">
        <f t="shared" si="42"/>
        <v>0</v>
      </c>
    </row>
    <row r="362" spans="1:12" s="6" customFormat="1" hidden="1" x14ac:dyDescent="0.25">
      <c r="A362" s="6">
        <v>780587</v>
      </c>
      <c r="B362" s="6" t="str">
        <f>VLOOKUP(A362,SAP!$1:$1048576,2,FALSE)</f>
        <v>Klamka R-line/klucz100Nm37mm200R01.3ALV</v>
      </c>
      <c r="C362" s="6">
        <f t="shared" si="58"/>
        <v>0</v>
      </c>
      <c r="D362" s="6">
        <f t="shared" si="64"/>
        <v>0</v>
      </c>
      <c r="E362" s="6">
        <f>IF($E$315=3,1,IF($E$315&lt;&gt;3,0))</f>
        <v>0</v>
      </c>
      <c r="F362" s="6">
        <f t="shared" si="60"/>
        <v>0</v>
      </c>
      <c r="G362" s="6">
        <f t="shared" si="61"/>
        <v>0</v>
      </c>
      <c r="H362" s="6">
        <f t="shared" si="62"/>
        <v>0</v>
      </c>
      <c r="I362" s="6">
        <f t="shared" si="65"/>
        <v>0</v>
      </c>
      <c r="J362" s="6">
        <f>IF($J$315=3,1,IF($J$315&lt;&gt;3,0))</f>
        <v>0</v>
      </c>
      <c r="K362" s="6">
        <f t="shared" si="41"/>
        <v>0</v>
      </c>
      <c r="L362" s="6">
        <f t="shared" si="42"/>
        <v>0</v>
      </c>
    </row>
    <row r="363" spans="1:12" s="6" customFormat="1" hidden="1" x14ac:dyDescent="0.25">
      <c r="A363" s="6">
        <v>786734</v>
      </c>
      <c r="B363" s="6" t="str">
        <f>VLOOKUP(A363,SAP!$1:$1048576,2,FALSE)</f>
        <v>Klamka R-line/klucz100Nm37mm200R01.5ALV</v>
      </c>
      <c r="C363" s="6">
        <f t="shared" si="58"/>
        <v>0</v>
      </c>
      <c r="D363" s="6">
        <f t="shared" si="64"/>
        <v>0</v>
      </c>
      <c r="E363" s="6">
        <f>IF($E$315=4,1,IF($E$315&lt;&gt;4,0))</f>
        <v>0</v>
      </c>
      <c r="F363" s="6">
        <f t="shared" si="60"/>
        <v>0</v>
      </c>
      <c r="G363" s="6">
        <f t="shared" si="61"/>
        <v>0</v>
      </c>
      <c r="H363" s="6">
        <f t="shared" si="62"/>
        <v>0</v>
      </c>
      <c r="I363" s="6">
        <f t="shared" si="65"/>
        <v>0</v>
      </c>
      <c r="J363" s="6">
        <f>IF($J$315=4,1,IF($J$315&lt;&gt;4,0))</f>
        <v>0</v>
      </c>
      <c r="K363" s="6">
        <f t="shared" si="41"/>
        <v>0</v>
      </c>
      <c r="L363" s="6">
        <f t="shared" si="42"/>
        <v>0</v>
      </c>
    </row>
    <row r="364" spans="1:12" s="6" customFormat="1" hidden="1" x14ac:dyDescent="0.25">
      <c r="A364" s="6">
        <v>780588</v>
      </c>
      <c r="B364" s="6" t="str">
        <f>VLOOKUP(A364,SAP!$1:$1048576,2,FALSE)</f>
        <v>Klamka R-line/klucz100Nm37mm200R05.3ALV</v>
      </c>
      <c r="C364" s="6">
        <f t="shared" si="58"/>
        <v>0</v>
      </c>
      <c r="D364" s="6">
        <f t="shared" si="64"/>
        <v>0</v>
      </c>
      <c r="E364" s="6">
        <f>IF($E$315=5,1,IF($E$315&lt;&gt;5,0))</f>
        <v>0</v>
      </c>
      <c r="F364" s="6">
        <f t="shared" si="60"/>
        <v>0</v>
      </c>
      <c r="G364" s="6">
        <f t="shared" si="61"/>
        <v>0</v>
      </c>
      <c r="H364" s="6">
        <f t="shared" si="62"/>
        <v>0</v>
      </c>
      <c r="I364" s="6">
        <f t="shared" si="65"/>
        <v>0</v>
      </c>
      <c r="J364" s="6">
        <f>IF($J$315=5,1,IF($J$315&lt;&gt;5,0))</f>
        <v>0</v>
      </c>
      <c r="K364" s="6">
        <f t="shared" si="41"/>
        <v>0</v>
      </c>
      <c r="L364" s="6">
        <f t="shared" si="42"/>
        <v>0</v>
      </c>
    </row>
    <row r="365" spans="1:12" s="6" customFormat="1" hidden="1" x14ac:dyDescent="0.25">
      <c r="A365" s="6">
        <v>780589</v>
      </c>
      <c r="B365" s="6" t="str">
        <f>VLOOKUP(A365,SAP!$1:$1048576,2,FALSE)</f>
        <v>Klamka R-line/klucz100Nm37mm200R05.4ALV</v>
      </c>
      <c r="C365" s="6">
        <f t="shared" si="58"/>
        <v>0</v>
      </c>
      <c r="D365" s="6">
        <f t="shared" si="64"/>
        <v>0</v>
      </c>
      <c r="E365" s="6">
        <f>IF($E$315=6,1,IF($E$315&lt;&gt;6,0))</f>
        <v>0</v>
      </c>
      <c r="F365" s="6">
        <f t="shared" si="60"/>
        <v>0</v>
      </c>
      <c r="G365" s="6">
        <f t="shared" si="61"/>
        <v>0</v>
      </c>
      <c r="H365" s="6">
        <f t="shared" si="62"/>
        <v>0</v>
      </c>
      <c r="I365" s="6">
        <f t="shared" si="65"/>
        <v>0</v>
      </c>
      <c r="J365" s="6">
        <f>IF($J$315=6,1,IF($J$315&lt;&gt;6,0))</f>
        <v>0</v>
      </c>
      <c r="K365" s="6">
        <f t="shared" si="41"/>
        <v>0</v>
      </c>
      <c r="L365" s="6">
        <f t="shared" si="42"/>
        <v>0</v>
      </c>
    </row>
    <row r="366" spans="1:12" s="6" customFormat="1" hidden="1" x14ac:dyDescent="0.25">
      <c r="A366" s="6">
        <v>780590</v>
      </c>
      <c r="B366" s="6" t="str">
        <f>VLOOKUP(A366,SAP!$1:$1048576,2,FALSE)</f>
        <v>Klamka R-line/klucz100Nm37mm200R05.5ALV</v>
      </c>
      <c r="C366" s="6">
        <f t="shared" si="58"/>
        <v>0</v>
      </c>
      <c r="D366" s="6">
        <f t="shared" si="64"/>
        <v>0</v>
      </c>
      <c r="E366" s="6">
        <f>IF($E$315=7,1,IF($E$315&lt;&gt;7,0))</f>
        <v>0</v>
      </c>
      <c r="F366" s="6">
        <f t="shared" si="60"/>
        <v>0</v>
      </c>
      <c r="G366" s="6">
        <f t="shared" si="61"/>
        <v>0</v>
      </c>
      <c r="H366" s="6">
        <f t="shared" si="62"/>
        <v>0</v>
      </c>
      <c r="I366" s="6">
        <f t="shared" si="65"/>
        <v>0</v>
      </c>
      <c r="J366" s="6">
        <f>IF($J$315=7,1,IF($J$315&lt;&gt;7,0))</f>
        <v>0</v>
      </c>
      <c r="K366" s="6">
        <f t="shared" si="41"/>
        <v>0</v>
      </c>
      <c r="L366" s="6">
        <f t="shared" si="42"/>
        <v>0</v>
      </c>
    </row>
    <row r="367" spans="1:12" s="6" customFormat="1" hidden="1" x14ac:dyDescent="0.25">
      <c r="A367" s="6">
        <v>787003</v>
      </c>
      <c r="B367" s="6" t="str">
        <f>VLOOKUP(A367,SAP!$1:$1048576,2,FALSE)</f>
        <v>Klamka R-line/klucz100Nm37mm200R06.2MALV</v>
      </c>
      <c r="C367" s="6">
        <f t="shared" si="58"/>
        <v>0</v>
      </c>
      <c r="D367" s="6">
        <f t="shared" si="64"/>
        <v>0</v>
      </c>
      <c r="E367" s="6">
        <f>IF($E$315=8,1,IF($E$315&lt;&gt;8,0))</f>
        <v>0</v>
      </c>
      <c r="F367" s="6">
        <f t="shared" si="60"/>
        <v>0</v>
      </c>
      <c r="G367" s="6">
        <f t="shared" si="61"/>
        <v>0</v>
      </c>
      <c r="H367" s="6">
        <f t="shared" si="62"/>
        <v>0</v>
      </c>
      <c r="I367" s="6">
        <f t="shared" si="65"/>
        <v>0</v>
      </c>
      <c r="J367" s="6">
        <f>IF($J$315=8,1,IF($J$315&lt;&gt;8,0))</f>
        <v>0</v>
      </c>
      <c r="K367" s="6">
        <f t="shared" si="41"/>
        <v>0</v>
      </c>
      <c r="L367" s="6">
        <f t="shared" si="42"/>
        <v>0</v>
      </c>
    </row>
    <row r="368" spans="1:12" s="6" customFormat="1" hidden="1" x14ac:dyDescent="0.25">
      <c r="A368" s="6">
        <v>780591</v>
      </c>
      <c r="B368" s="6" t="str">
        <f>VLOOKUP(A368,SAP!$1:$1048576,2,FALSE)</f>
        <v>Klamka R-line/klucz100Nm37mm200R07.2ALV</v>
      </c>
      <c r="C368" s="6">
        <f t="shared" si="58"/>
        <v>0</v>
      </c>
      <c r="D368" s="6">
        <f t="shared" si="64"/>
        <v>0</v>
      </c>
      <c r="E368" s="6">
        <f>IF($E$315=9,1,IF($E$315&lt;&gt;9,0))</f>
        <v>0</v>
      </c>
      <c r="F368" s="6">
        <f t="shared" si="60"/>
        <v>0</v>
      </c>
      <c r="G368" s="6">
        <f t="shared" si="61"/>
        <v>0</v>
      </c>
      <c r="H368" s="6">
        <f t="shared" si="62"/>
        <v>0</v>
      </c>
      <c r="I368" s="6">
        <f t="shared" si="65"/>
        <v>0</v>
      </c>
      <c r="J368" s="6">
        <f>IF($J$315=9,1,IF($J$315&lt;&gt;9,0))</f>
        <v>0</v>
      </c>
      <c r="K368" s="6">
        <f t="shared" si="41"/>
        <v>0</v>
      </c>
      <c r="L368" s="6">
        <f t="shared" si="42"/>
        <v>0</v>
      </c>
    </row>
    <row r="369" spans="1:12" s="6" customFormat="1" hidden="1" x14ac:dyDescent="0.25">
      <c r="A369" s="6">
        <v>780592</v>
      </c>
      <c r="B369" s="6" t="str">
        <f>VLOOKUP(A369,SAP!$1:$1048576,2,FALSE)</f>
        <v>Klamka R-line/klucz100Nm37mm200R07.3ALV</v>
      </c>
      <c r="C369" s="6">
        <f t="shared" si="58"/>
        <v>0</v>
      </c>
      <c r="D369" s="6">
        <f t="shared" si="64"/>
        <v>0</v>
      </c>
      <c r="E369" s="6">
        <f>IF($E$315=10,1,IF($E$315&lt;&gt;10,0))</f>
        <v>0</v>
      </c>
      <c r="F369" s="6">
        <f t="shared" si="60"/>
        <v>0</v>
      </c>
      <c r="G369" s="6">
        <f t="shared" si="61"/>
        <v>0</v>
      </c>
      <c r="H369" s="6">
        <f t="shared" si="62"/>
        <v>0</v>
      </c>
      <c r="I369" s="6">
        <f t="shared" si="65"/>
        <v>0</v>
      </c>
      <c r="J369" s="6">
        <f>IF($J$315=10,1,IF($J$315&lt;&gt;10,0))</f>
        <v>0</v>
      </c>
      <c r="K369" s="6">
        <f t="shared" si="41"/>
        <v>0</v>
      </c>
      <c r="L369" s="6">
        <f t="shared" si="42"/>
        <v>0</v>
      </c>
    </row>
    <row r="370" spans="1:12" s="6" customFormat="1" hidden="1" x14ac:dyDescent="0.25">
      <c r="A370" s="6">
        <v>780593</v>
      </c>
      <c r="B370" s="6" t="str">
        <f>VLOOKUP(A370,SAP!$1:$1048576,2,FALSE)</f>
        <v>Klamka R-line/klucz100Nm43mm200R01.1ALV</v>
      </c>
      <c r="C370" s="6">
        <f t="shared" si="58"/>
        <v>0</v>
      </c>
      <c r="D370" s="6">
        <f>IF($D$315=3,1,IF($D$315&lt;&gt;3,0))</f>
        <v>1</v>
      </c>
      <c r="E370" s="6">
        <f>IF($E$315=1,1,IF($E$315&lt;&gt;1,0))</f>
        <v>1</v>
      </c>
      <c r="F370" s="6">
        <f t="shared" si="60"/>
        <v>0</v>
      </c>
      <c r="G370" s="6">
        <f t="shared" si="61"/>
        <v>0</v>
      </c>
      <c r="H370" s="6">
        <f t="shared" si="62"/>
        <v>0</v>
      </c>
      <c r="I370" s="6">
        <f>IF($I$315=3,1,IF($I$315&lt;&gt;3,0))</f>
        <v>1</v>
      </c>
      <c r="J370" s="6">
        <f>IF($J$315=1,1,IF($J$315&lt;&gt;1,0))</f>
        <v>1</v>
      </c>
      <c r="K370" s="6">
        <f t="shared" si="41"/>
        <v>0</v>
      </c>
      <c r="L370" s="6">
        <f t="shared" si="42"/>
        <v>0</v>
      </c>
    </row>
    <row r="371" spans="1:12" s="6" customFormat="1" hidden="1" x14ac:dyDescent="0.25">
      <c r="A371" s="6">
        <v>786730</v>
      </c>
      <c r="B371" s="6" t="str">
        <f>VLOOKUP(A371,SAP!$1:$1048576,2,FALSE)</f>
        <v>Klamka R-line/klucz100Nm43mm200R01.2ALV</v>
      </c>
      <c r="C371" s="6">
        <f t="shared" si="58"/>
        <v>0</v>
      </c>
      <c r="D371" s="6">
        <f t="shared" si="51"/>
        <v>1</v>
      </c>
      <c r="E371" s="6">
        <f>IF($E$315=2,1,IF($E$315&lt;&gt;2,0))</f>
        <v>0</v>
      </c>
      <c r="F371" s="6">
        <f t="shared" si="60"/>
        <v>0</v>
      </c>
      <c r="G371" s="6">
        <f t="shared" si="61"/>
        <v>0</v>
      </c>
      <c r="H371" s="6">
        <f t="shared" si="62"/>
        <v>0</v>
      </c>
      <c r="I371" s="6">
        <f t="shared" si="55"/>
        <v>1</v>
      </c>
      <c r="J371" s="6">
        <f>IF($J$315=2,1,IF($J$315&lt;&gt;2,0))</f>
        <v>0</v>
      </c>
      <c r="K371" s="6">
        <f t="shared" si="41"/>
        <v>0</v>
      </c>
      <c r="L371" s="6">
        <f t="shared" si="42"/>
        <v>0</v>
      </c>
    </row>
    <row r="372" spans="1:12" s="6" customFormat="1" hidden="1" x14ac:dyDescent="0.25">
      <c r="A372" s="6">
        <v>780594</v>
      </c>
      <c r="B372" s="6" t="str">
        <f>VLOOKUP(A372,SAP!$1:$1048576,2,FALSE)</f>
        <v>Klamka R-line/klucz100Nm43mm200R01.3ALV</v>
      </c>
      <c r="C372" s="6">
        <f t="shared" si="58"/>
        <v>0</v>
      </c>
      <c r="D372" s="6">
        <f t="shared" si="51"/>
        <v>1</v>
      </c>
      <c r="E372" s="6">
        <f>IF($E$315=3,1,IF($E$315&lt;&gt;3,0))</f>
        <v>0</v>
      </c>
      <c r="F372" s="6">
        <f t="shared" si="60"/>
        <v>0</v>
      </c>
      <c r="G372" s="6">
        <f t="shared" si="61"/>
        <v>0</v>
      </c>
      <c r="H372" s="6">
        <f t="shared" si="62"/>
        <v>0</v>
      </c>
      <c r="I372" s="6">
        <f t="shared" si="55"/>
        <v>1</v>
      </c>
      <c r="J372" s="6">
        <f>IF($J$315=3,1,IF($J$315&lt;&gt;3,0))</f>
        <v>0</v>
      </c>
      <c r="K372" s="6">
        <f t="shared" si="41"/>
        <v>0</v>
      </c>
      <c r="L372" s="6">
        <f t="shared" si="42"/>
        <v>0</v>
      </c>
    </row>
    <row r="373" spans="1:12" s="6" customFormat="1" hidden="1" x14ac:dyDescent="0.25">
      <c r="A373" s="6">
        <v>786755</v>
      </c>
      <c r="B373" s="6" t="str">
        <f>VLOOKUP(A373,SAP!$1:$1048576,2,FALSE)</f>
        <v>Klamka R-line/klucz100Nm43mm200R01.5ALV</v>
      </c>
      <c r="C373" s="6">
        <f t="shared" si="58"/>
        <v>0</v>
      </c>
      <c r="D373" s="6">
        <f t="shared" si="51"/>
        <v>1</v>
      </c>
      <c r="E373" s="6">
        <f>IF($E$315=4,1,IF($E$315&lt;&gt;4,0))</f>
        <v>0</v>
      </c>
      <c r="F373" s="6">
        <f t="shared" si="60"/>
        <v>0</v>
      </c>
      <c r="G373" s="6">
        <f t="shared" si="61"/>
        <v>0</v>
      </c>
      <c r="H373" s="6">
        <f t="shared" si="62"/>
        <v>0</v>
      </c>
      <c r="I373" s="6">
        <f t="shared" si="55"/>
        <v>1</v>
      </c>
      <c r="J373" s="6">
        <f>IF($J$315=4,1,IF($J$315&lt;&gt;4,0))</f>
        <v>0</v>
      </c>
      <c r="K373" s="6">
        <f t="shared" si="41"/>
        <v>0</v>
      </c>
      <c r="L373" s="6">
        <f t="shared" si="42"/>
        <v>0</v>
      </c>
    </row>
    <row r="374" spans="1:12" s="6" customFormat="1" hidden="1" x14ac:dyDescent="0.25">
      <c r="A374" s="6">
        <v>820798</v>
      </c>
      <c r="B374" s="6" t="str">
        <f>VLOOKUP(A374,SAP!$1:$1048576,2,FALSE)</f>
        <v>Klamka R-line/klucz100Nm43mm200R02.2ALV</v>
      </c>
      <c r="C374" s="6">
        <f t="shared" si="58"/>
        <v>0</v>
      </c>
      <c r="D374" s="6">
        <f t="shared" si="51"/>
        <v>1</v>
      </c>
      <c r="E374" s="6">
        <f>IF($E$315=5,1,IF($E$315&lt;&gt;5,0))</f>
        <v>0</v>
      </c>
      <c r="F374" s="6">
        <f t="shared" ref="F374" si="66">C374*D374*E374</f>
        <v>0</v>
      </c>
      <c r="G374" s="6">
        <f t="shared" ref="G374" si="67">F374*A374</f>
        <v>0</v>
      </c>
      <c r="H374" s="6">
        <f t="shared" si="62"/>
        <v>0</v>
      </c>
      <c r="I374" s="6">
        <f t="shared" si="55"/>
        <v>1</v>
      </c>
      <c r="J374" s="6">
        <f>IF($J$315=5,1,IF($J$315&lt;&gt;5,0))</f>
        <v>0</v>
      </c>
      <c r="K374" s="6">
        <f t="shared" ref="K374" si="68">H374*I374*J374</f>
        <v>0</v>
      </c>
      <c r="L374" s="6">
        <f t="shared" ref="L374" si="69">K374*A374</f>
        <v>0</v>
      </c>
    </row>
    <row r="375" spans="1:12" s="6" customFormat="1" hidden="1" x14ac:dyDescent="0.25">
      <c r="A375" s="6">
        <v>780595</v>
      </c>
      <c r="B375" s="6" t="str">
        <f>VLOOKUP(A375,SAP!$1:$1048576,2,FALSE)</f>
        <v>Klamka R-line/klucz100Nm43mm200R05.3ALV</v>
      </c>
      <c r="C375" s="6">
        <f t="shared" si="58"/>
        <v>0</v>
      </c>
      <c r="D375" s="6">
        <f t="shared" si="51"/>
        <v>1</v>
      </c>
      <c r="E375" s="6">
        <f>IF($E$315=6,1,IF($E$315&lt;&gt;6,0))</f>
        <v>0</v>
      </c>
      <c r="F375" s="6">
        <f t="shared" si="60"/>
        <v>0</v>
      </c>
      <c r="G375" s="6">
        <f t="shared" si="61"/>
        <v>0</v>
      </c>
      <c r="H375" s="6">
        <f t="shared" si="62"/>
        <v>0</v>
      </c>
      <c r="I375" s="6">
        <f t="shared" si="55"/>
        <v>1</v>
      </c>
      <c r="J375" s="6">
        <f>IF($J$315=6,1,IF($J$315&lt;&gt;6,0))</f>
        <v>0</v>
      </c>
      <c r="K375" s="6">
        <f t="shared" si="41"/>
        <v>0</v>
      </c>
      <c r="L375" s="6">
        <f t="shared" si="42"/>
        <v>0</v>
      </c>
    </row>
    <row r="376" spans="1:12" s="6" customFormat="1" hidden="1" x14ac:dyDescent="0.25">
      <c r="A376" s="6">
        <v>780596</v>
      </c>
      <c r="B376" s="6" t="str">
        <f>VLOOKUP(A376,SAP!$1:$1048576,2,FALSE)</f>
        <v>Klamka R-line/klucz100Nm43mm200R05.4ALV</v>
      </c>
      <c r="C376" s="6">
        <f t="shared" si="58"/>
        <v>0</v>
      </c>
      <c r="D376" s="6">
        <f t="shared" si="51"/>
        <v>1</v>
      </c>
      <c r="E376" s="6">
        <f>IF($E$315=7,1,IF($E$315&lt;&gt;7,0))</f>
        <v>0</v>
      </c>
      <c r="F376" s="6">
        <f t="shared" si="60"/>
        <v>0</v>
      </c>
      <c r="G376" s="6">
        <f t="shared" si="61"/>
        <v>0</v>
      </c>
      <c r="H376" s="6">
        <f t="shared" si="62"/>
        <v>0</v>
      </c>
      <c r="I376" s="6">
        <f t="shared" si="55"/>
        <v>1</v>
      </c>
      <c r="J376" s="6">
        <f>IF($J$315=7,1,IF($J$315&lt;&gt;7,0))</f>
        <v>0</v>
      </c>
      <c r="K376" s="6">
        <f t="shared" si="41"/>
        <v>0</v>
      </c>
      <c r="L376" s="6">
        <f t="shared" si="42"/>
        <v>0</v>
      </c>
    </row>
    <row r="377" spans="1:12" s="6" customFormat="1" hidden="1" x14ac:dyDescent="0.25">
      <c r="A377" s="6">
        <v>780597</v>
      </c>
      <c r="B377" s="6" t="str">
        <f>VLOOKUP(A377,SAP!$1:$1048576,2,FALSE)</f>
        <v>Klamka R-line/klucz100Nm43mm200R05.5ALV</v>
      </c>
      <c r="C377" s="6">
        <f t="shared" si="58"/>
        <v>0</v>
      </c>
      <c r="D377" s="6">
        <f t="shared" si="51"/>
        <v>1</v>
      </c>
      <c r="E377" s="6">
        <f>IF($E$315=8,1,IF($E$315&lt;&gt;8,0))</f>
        <v>0</v>
      </c>
      <c r="F377" s="6">
        <f t="shared" si="60"/>
        <v>0</v>
      </c>
      <c r="G377" s="6">
        <f t="shared" si="61"/>
        <v>0</v>
      </c>
      <c r="H377" s="6">
        <f t="shared" si="62"/>
        <v>0</v>
      </c>
      <c r="I377" s="6">
        <f t="shared" si="55"/>
        <v>1</v>
      </c>
      <c r="J377" s="6">
        <f>IF($J$315=8,1,IF($J$315&lt;&gt;8,0))</f>
        <v>0</v>
      </c>
      <c r="K377" s="6">
        <f t="shared" si="41"/>
        <v>0</v>
      </c>
      <c r="L377" s="6">
        <f t="shared" si="42"/>
        <v>0</v>
      </c>
    </row>
    <row r="378" spans="1:12" s="6" customFormat="1" hidden="1" x14ac:dyDescent="0.25">
      <c r="A378" s="6">
        <v>787004</v>
      </c>
      <c r="B378" s="6" t="str">
        <f>VLOOKUP(A378,SAP!$1:$1048576,2,FALSE)</f>
        <v>Klamka R-line/klucz100Nm43mm200R06.2MALV</v>
      </c>
      <c r="C378" s="6">
        <f t="shared" si="58"/>
        <v>0</v>
      </c>
      <c r="D378" s="6">
        <f t="shared" si="51"/>
        <v>1</v>
      </c>
      <c r="E378" s="6">
        <f>IF($E$315=9,1,IF($E$315&lt;&gt;9,0))</f>
        <v>0</v>
      </c>
      <c r="F378" s="6">
        <f t="shared" si="60"/>
        <v>0</v>
      </c>
      <c r="G378" s="6">
        <f t="shared" si="61"/>
        <v>0</v>
      </c>
      <c r="H378" s="6">
        <f t="shared" si="62"/>
        <v>0</v>
      </c>
      <c r="I378" s="6">
        <f t="shared" si="55"/>
        <v>1</v>
      </c>
      <c r="J378" s="6">
        <f>IF($J$315=9,1,IF($J$315&lt;&gt;9,0))</f>
        <v>0</v>
      </c>
      <c r="K378" s="6">
        <f t="shared" si="41"/>
        <v>0</v>
      </c>
      <c r="L378" s="6">
        <f t="shared" si="42"/>
        <v>0</v>
      </c>
    </row>
    <row r="379" spans="1:12" s="6" customFormat="1" hidden="1" x14ac:dyDescent="0.25">
      <c r="A379" s="6">
        <v>780598</v>
      </c>
      <c r="B379" s="6" t="str">
        <f>VLOOKUP(A379,SAP!$1:$1048576,2,FALSE)</f>
        <v>Klamka R-line/klucz100Nm43mm200R07.2ALV</v>
      </c>
      <c r="C379" s="6">
        <f t="shared" si="58"/>
        <v>0</v>
      </c>
      <c r="D379" s="6">
        <f t="shared" si="51"/>
        <v>1</v>
      </c>
      <c r="E379" s="6">
        <f>IF($E$315=10,1,IF($E$315&lt;&gt;10,0))</f>
        <v>0</v>
      </c>
      <c r="F379" s="6">
        <f t="shared" si="60"/>
        <v>0</v>
      </c>
      <c r="G379" s="6">
        <f t="shared" si="61"/>
        <v>0</v>
      </c>
      <c r="H379" s="6">
        <f t="shared" si="62"/>
        <v>0</v>
      </c>
      <c r="I379" s="6">
        <f t="shared" si="55"/>
        <v>1</v>
      </c>
      <c r="J379" s="6">
        <f>IF($J$315=10,1,IF($J$315&lt;&gt;10,0))</f>
        <v>0</v>
      </c>
      <c r="K379" s="6">
        <f t="shared" si="41"/>
        <v>0</v>
      </c>
      <c r="L379" s="6">
        <f t="shared" si="42"/>
        <v>0</v>
      </c>
    </row>
    <row r="380" spans="1:12" s="6" customFormat="1" hidden="1" x14ac:dyDescent="0.25">
      <c r="A380" s="6">
        <v>780599</v>
      </c>
      <c r="B380" s="6" t="str">
        <f>VLOOKUP(A380,SAP!$1:$1048576,2,FALSE)</f>
        <v>Klamka R-line/klucz100Nm43mm200R07.3ALV</v>
      </c>
      <c r="C380" s="6">
        <f t="shared" si="58"/>
        <v>0</v>
      </c>
      <c r="D380" s="6">
        <f t="shared" si="51"/>
        <v>1</v>
      </c>
      <c r="E380" s="6">
        <f>IF($E$315=11,1,IF($E$315&lt;&gt;11,0))</f>
        <v>0</v>
      </c>
      <c r="F380" s="6">
        <f t="shared" si="60"/>
        <v>0</v>
      </c>
      <c r="G380" s="6">
        <f t="shared" si="61"/>
        <v>0</v>
      </c>
      <c r="H380" s="6">
        <f t="shared" si="62"/>
        <v>0</v>
      </c>
      <c r="I380" s="6">
        <f t="shared" si="55"/>
        <v>1</v>
      </c>
      <c r="J380" s="6">
        <f>IF($J$315=11,1,IF($J$315&lt;&gt;11,0))</f>
        <v>0</v>
      </c>
      <c r="K380" s="6">
        <f t="shared" si="41"/>
        <v>0</v>
      </c>
      <c r="L380" s="6">
        <f t="shared" si="42"/>
        <v>0</v>
      </c>
    </row>
    <row r="381" spans="1:12" s="6" customFormat="1" hidden="1" x14ac:dyDescent="0.25">
      <c r="A381" s="6">
        <v>786179</v>
      </c>
      <c r="B381" s="6" t="str">
        <f>VLOOKUP(A381,SAP!$1:$1048576,2,FALSE)</f>
        <v>Klamka R-lineDwustr.nisk100mm200R01.1ALV</v>
      </c>
      <c r="C381" s="6">
        <f>IF($C$315=4,1,IF($C$315&lt;&gt;4,0))</f>
        <v>0</v>
      </c>
      <c r="D381" s="6">
        <f>IF($D$315=4,1,IF($D$315&lt;&gt;4,0))</f>
        <v>0</v>
      </c>
      <c r="E381" s="6">
        <f>IF($E$315=1,1,IF($E$315&lt;&gt;1,0))</f>
        <v>1</v>
      </c>
      <c r="F381" s="6">
        <f>C381*D381*E381</f>
        <v>0</v>
      </c>
      <c r="G381" s="6">
        <f>F381*A381</f>
        <v>0</v>
      </c>
      <c r="L381" s="11">
        <f>SUM(L316:L380)</f>
        <v>780551</v>
      </c>
    </row>
    <row r="382" spans="1:12" s="6" customFormat="1" hidden="1" x14ac:dyDescent="0.25">
      <c r="A382" s="6">
        <v>786221</v>
      </c>
      <c r="B382" s="6" t="str">
        <f>VLOOKUP(A382,SAP!$1:$1048576,2,FALSE)</f>
        <v>Klamka R-lineDwustr.nisk100mm200R01.5ALV</v>
      </c>
      <c r="C382" s="6">
        <f t="shared" ref="C382:C397" si="70">IF($C$315=4,1,IF($C$315&lt;&gt;4,0))</f>
        <v>0</v>
      </c>
      <c r="D382" s="6">
        <f t="shared" ref="D382:D389" si="71">IF($D$315=4,1,IF($D$315&lt;&gt;4,0))</f>
        <v>0</v>
      </c>
      <c r="E382" s="6">
        <f>IF($E$315=4,1,IF($E$315&lt;&gt;4,0))</f>
        <v>0</v>
      </c>
      <c r="F382" s="6">
        <f t="shared" ref="F382:F397" si="72">C382*D382*E382</f>
        <v>0</v>
      </c>
      <c r="G382" s="6">
        <f t="shared" ref="G382:G397" si="73">F382*A382</f>
        <v>0</v>
      </c>
    </row>
    <row r="383" spans="1:12" s="6" customFormat="1" hidden="1" x14ac:dyDescent="0.25">
      <c r="A383" s="6">
        <v>820799</v>
      </c>
      <c r="B383" s="6" t="str">
        <f>VLOOKUP(A383,SAP!$1:$1048576,2,FALSE)</f>
        <v>Klamka R-lineDwustr.nisk100mm200R02.2ALV</v>
      </c>
      <c r="C383" s="6">
        <f t="shared" si="70"/>
        <v>0</v>
      </c>
      <c r="D383" s="6">
        <f t="shared" si="71"/>
        <v>0</v>
      </c>
      <c r="E383" s="6">
        <f>IF($E$315=5,1,IF($E$315&lt;&gt;5,0))</f>
        <v>0</v>
      </c>
      <c r="F383" s="6">
        <f t="shared" ref="F383" si="74">C383*D383*E383</f>
        <v>0</v>
      </c>
      <c r="G383" s="6">
        <f t="shared" ref="G383" si="75">F383*A383</f>
        <v>0</v>
      </c>
    </row>
    <row r="384" spans="1:12" s="6" customFormat="1" hidden="1" x14ac:dyDescent="0.25">
      <c r="A384" s="6">
        <v>786180</v>
      </c>
      <c r="B384" s="6" t="str">
        <f>VLOOKUP(A384,SAP!$1:$1048576,2,FALSE)</f>
        <v>Klamka R-lineDwustr.nisk100mm200R05.3ALV</v>
      </c>
      <c r="C384" s="6">
        <f t="shared" si="70"/>
        <v>0</v>
      </c>
      <c r="D384" s="6">
        <f t="shared" si="71"/>
        <v>0</v>
      </c>
      <c r="E384" s="6">
        <f>IF($E$315=6,1,IF($E$315&lt;&gt;6,0))</f>
        <v>0</v>
      </c>
      <c r="F384" s="6">
        <f t="shared" si="72"/>
        <v>0</v>
      </c>
      <c r="G384" s="6">
        <f t="shared" si="73"/>
        <v>0</v>
      </c>
    </row>
    <row r="385" spans="1:7" s="6" customFormat="1" hidden="1" x14ac:dyDescent="0.25">
      <c r="A385" s="6">
        <v>786181</v>
      </c>
      <c r="B385" s="6" t="str">
        <f>VLOOKUP(A385,SAP!$1:$1048576,2,FALSE)</f>
        <v>Klamka R-lineDwustr.nisk100mm200R05.4ALV</v>
      </c>
      <c r="C385" s="6">
        <f t="shared" si="70"/>
        <v>0</v>
      </c>
      <c r="D385" s="6">
        <f t="shared" si="71"/>
        <v>0</v>
      </c>
      <c r="E385" s="6">
        <f>IF($E$315=7,1,IF($E$315&lt;&gt;7,0))</f>
        <v>0</v>
      </c>
      <c r="F385" s="6">
        <f t="shared" si="72"/>
        <v>0</v>
      </c>
      <c r="G385" s="6">
        <f t="shared" si="73"/>
        <v>0</v>
      </c>
    </row>
    <row r="386" spans="1:7" s="6" customFormat="1" hidden="1" x14ac:dyDescent="0.25">
      <c r="A386" s="6">
        <v>786182</v>
      </c>
      <c r="B386" s="6" t="str">
        <f>VLOOKUP(A386,SAP!$1:$1048576,2,FALSE)</f>
        <v>Klamka R-lineDwustr.nisk100mm200R05.5ALV</v>
      </c>
      <c r="C386" s="6">
        <f t="shared" si="70"/>
        <v>0</v>
      </c>
      <c r="D386" s="6">
        <f t="shared" si="71"/>
        <v>0</v>
      </c>
      <c r="E386" s="6">
        <f>IF($E$315=8,1,IF($E$315&lt;&gt;8,0))</f>
        <v>0</v>
      </c>
      <c r="F386" s="6">
        <f t="shared" si="72"/>
        <v>0</v>
      </c>
      <c r="G386" s="6">
        <f t="shared" si="73"/>
        <v>0</v>
      </c>
    </row>
    <row r="387" spans="1:7" s="6" customFormat="1" hidden="1" x14ac:dyDescent="0.25">
      <c r="A387" s="6">
        <v>786222</v>
      </c>
      <c r="B387" s="6" t="str">
        <f>VLOOKUP(A387,SAP!$1:$1048576,2,FALSE)</f>
        <v>Klamka R-lineDwustr.nisk100mm200R06.2ALV</v>
      </c>
      <c r="C387" s="6">
        <f t="shared" si="70"/>
        <v>0</v>
      </c>
      <c r="D387" s="6">
        <f t="shared" si="71"/>
        <v>0</v>
      </c>
      <c r="E387" s="6">
        <f>IF($E$315=9,1,IF($E$315&lt;&gt;9,0))</f>
        <v>0</v>
      </c>
      <c r="F387" s="6">
        <f t="shared" si="72"/>
        <v>0</v>
      </c>
      <c r="G387" s="6">
        <f t="shared" si="73"/>
        <v>0</v>
      </c>
    </row>
    <row r="388" spans="1:7" s="6" customFormat="1" hidden="1" x14ac:dyDescent="0.25">
      <c r="A388" s="6">
        <v>786183</v>
      </c>
      <c r="B388" s="6" t="str">
        <f>VLOOKUP(A388,SAP!$1:$1048576,2,FALSE)</f>
        <v>Klamka R-lineDwustr.nisk100mm200R07.2ALV</v>
      </c>
      <c r="C388" s="6">
        <f t="shared" si="70"/>
        <v>0</v>
      </c>
      <c r="D388" s="6">
        <f t="shared" si="71"/>
        <v>0</v>
      </c>
      <c r="E388" s="6">
        <f>IF($E$315=10,1,IF($E$315&lt;&gt;10,0))</f>
        <v>0</v>
      </c>
      <c r="F388" s="6">
        <f t="shared" si="72"/>
        <v>0</v>
      </c>
      <c r="G388" s="6">
        <f t="shared" si="73"/>
        <v>0</v>
      </c>
    </row>
    <row r="389" spans="1:7" s="6" customFormat="1" hidden="1" x14ac:dyDescent="0.25">
      <c r="A389" s="6">
        <v>786184</v>
      </c>
      <c r="B389" s="6" t="str">
        <f>VLOOKUP(A389,SAP!$1:$1048576,2,FALSE)</f>
        <v>Klamka R-lineDwustr.nisk100mm200R07.3ALV</v>
      </c>
      <c r="C389" s="6">
        <f t="shared" si="70"/>
        <v>0</v>
      </c>
      <c r="D389" s="6">
        <f t="shared" si="71"/>
        <v>0</v>
      </c>
      <c r="E389" s="6">
        <f>IF($E$315=11,1,IF($E$315&lt;&gt;11,0))</f>
        <v>0</v>
      </c>
      <c r="F389" s="6">
        <f t="shared" si="72"/>
        <v>0</v>
      </c>
      <c r="G389" s="6">
        <f t="shared" si="73"/>
        <v>0</v>
      </c>
    </row>
    <row r="390" spans="1:7" s="6" customFormat="1" hidden="1" x14ac:dyDescent="0.25">
      <c r="A390" s="6">
        <v>786225</v>
      </c>
      <c r="B390" s="6" t="str">
        <f>VLOOKUP(A390,SAP!$1:$1048576,2,FALSE)</f>
        <v>Klamka R-lineDwustr.nisk135mm200R01.1ALV</v>
      </c>
      <c r="C390" s="6">
        <f t="shared" si="70"/>
        <v>0</v>
      </c>
      <c r="D390" s="6">
        <f>IF($D$315=5,1,IF($D$315&lt;&gt;5,0))</f>
        <v>0</v>
      </c>
      <c r="E390" s="6">
        <f>IF($E$315=1,1,IF($E$315&lt;&gt;1,0))</f>
        <v>1</v>
      </c>
      <c r="F390" s="6">
        <f t="shared" si="72"/>
        <v>0</v>
      </c>
      <c r="G390" s="6">
        <f t="shared" si="73"/>
        <v>0</v>
      </c>
    </row>
    <row r="391" spans="1:7" s="6" customFormat="1" hidden="1" x14ac:dyDescent="0.25">
      <c r="A391" s="6">
        <v>786220</v>
      </c>
      <c r="B391" s="6" t="str">
        <f>VLOOKUP(A391,SAP!$1:$1048576,2,FALSE)</f>
        <v>Klamka R-lineDwustr.nisk135mm200R01.5ALV</v>
      </c>
      <c r="C391" s="6">
        <f t="shared" si="70"/>
        <v>0</v>
      </c>
      <c r="D391" s="6">
        <f t="shared" ref="D391:D397" si="76">IF($D$315=5,1,IF($D$315&lt;&gt;5,0))</f>
        <v>0</v>
      </c>
      <c r="E391" s="6">
        <f>IF($E$315=4,1,IF($E$315&lt;&gt;4,0))</f>
        <v>0</v>
      </c>
      <c r="F391" s="6">
        <f t="shared" si="72"/>
        <v>0</v>
      </c>
      <c r="G391" s="6">
        <f t="shared" si="73"/>
        <v>0</v>
      </c>
    </row>
    <row r="392" spans="1:7" s="6" customFormat="1" hidden="1" x14ac:dyDescent="0.25">
      <c r="A392" s="6">
        <v>786226</v>
      </c>
      <c r="B392" s="6" t="str">
        <f>VLOOKUP(A392,SAP!$1:$1048576,2,FALSE)</f>
        <v>Klamka R-lineDwustr.nisk135mm200R05.3ALV</v>
      </c>
      <c r="C392" s="6">
        <f t="shared" si="70"/>
        <v>0</v>
      </c>
      <c r="D392" s="6">
        <f t="shared" si="76"/>
        <v>0</v>
      </c>
      <c r="E392" s="6">
        <f>IF($E$315=5,1,IF($E$315&lt;&gt;5,0))</f>
        <v>0</v>
      </c>
      <c r="F392" s="6">
        <f t="shared" si="72"/>
        <v>0</v>
      </c>
      <c r="G392" s="6">
        <f t="shared" si="73"/>
        <v>0</v>
      </c>
    </row>
    <row r="393" spans="1:7" s="6" customFormat="1" hidden="1" x14ac:dyDescent="0.25">
      <c r="A393" s="6">
        <v>786227</v>
      </c>
      <c r="B393" s="6" t="str">
        <f>VLOOKUP(A393,SAP!$1:$1048576,2,FALSE)</f>
        <v>Klamka R-lineDwustr.nisk135mm200R05.4ALV</v>
      </c>
      <c r="C393" s="6">
        <f t="shared" si="70"/>
        <v>0</v>
      </c>
      <c r="D393" s="6">
        <f t="shared" si="76"/>
        <v>0</v>
      </c>
      <c r="E393" s="6">
        <f>IF($E$315=6,1,IF($E$315&lt;&gt;6,0))</f>
        <v>0</v>
      </c>
      <c r="F393" s="6">
        <f t="shared" si="72"/>
        <v>0</v>
      </c>
      <c r="G393" s="6">
        <f t="shared" si="73"/>
        <v>0</v>
      </c>
    </row>
    <row r="394" spans="1:7" s="6" customFormat="1" hidden="1" x14ac:dyDescent="0.25">
      <c r="A394" s="6">
        <v>786228</v>
      </c>
      <c r="B394" s="6" t="str">
        <f>VLOOKUP(A394,SAP!$1:$1048576,2,FALSE)</f>
        <v>Klamka R-lineDwustr.nisk135mm200R05.5ALV</v>
      </c>
      <c r="C394" s="6">
        <f t="shared" si="70"/>
        <v>0</v>
      </c>
      <c r="D394" s="6">
        <f t="shared" si="76"/>
        <v>0</v>
      </c>
      <c r="E394" s="6">
        <f>IF($E$315=7,1,IF($E$315&lt;&gt;7,0))</f>
        <v>0</v>
      </c>
      <c r="F394" s="6">
        <f t="shared" si="72"/>
        <v>0</v>
      </c>
      <c r="G394" s="6">
        <f t="shared" si="73"/>
        <v>0</v>
      </c>
    </row>
    <row r="395" spans="1:7" s="6" customFormat="1" hidden="1" x14ac:dyDescent="0.25">
      <c r="A395" s="6">
        <v>786229</v>
      </c>
      <c r="B395" s="6" t="str">
        <f>VLOOKUP(A395,SAP!$1:$1048576,2,FALSE)</f>
        <v>Klamka R-lineDwustr.nisk135mm200R06.2ALV</v>
      </c>
      <c r="C395" s="6">
        <f t="shared" si="70"/>
        <v>0</v>
      </c>
      <c r="D395" s="6">
        <f t="shared" si="76"/>
        <v>0</v>
      </c>
      <c r="E395" s="6">
        <f>IF($E$315=8,1,IF($E$315&lt;&gt;8,0))</f>
        <v>0</v>
      </c>
      <c r="F395" s="6">
        <f t="shared" si="72"/>
        <v>0</v>
      </c>
      <c r="G395" s="6">
        <f t="shared" si="73"/>
        <v>0</v>
      </c>
    </row>
    <row r="396" spans="1:7" s="6" customFormat="1" hidden="1" x14ac:dyDescent="0.25">
      <c r="A396" s="6">
        <v>786230</v>
      </c>
      <c r="B396" s="6" t="str">
        <f>VLOOKUP(A396,SAP!$1:$1048576,2,FALSE)</f>
        <v>Klamka R-lineDwustr.nisk135mm200R07.2ALV</v>
      </c>
      <c r="C396" s="6">
        <f t="shared" si="70"/>
        <v>0</v>
      </c>
      <c r="D396" s="6">
        <f t="shared" si="76"/>
        <v>0</v>
      </c>
      <c r="E396" s="6">
        <f>IF($E$315=9,1,IF($E$315&lt;&gt;9,0))</f>
        <v>0</v>
      </c>
      <c r="F396" s="6">
        <f t="shared" si="72"/>
        <v>0</v>
      </c>
      <c r="G396" s="6">
        <f t="shared" si="73"/>
        <v>0</v>
      </c>
    </row>
    <row r="397" spans="1:7" s="6" customFormat="1" hidden="1" x14ac:dyDescent="0.25">
      <c r="A397" s="6">
        <v>786219</v>
      </c>
      <c r="B397" s="6" t="str">
        <f>VLOOKUP(A397,SAP!$1:$1048576,2,FALSE)</f>
        <v>Klamka R-lineDwustr.nisk135mm200R07.3ALV</v>
      </c>
      <c r="C397" s="6">
        <f t="shared" si="70"/>
        <v>0</v>
      </c>
      <c r="D397" s="6">
        <f t="shared" si="76"/>
        <v>0</v>
      </c>
      <c r="E397" s="6">
        <f>IF($E$315=10,1,IF($E$315&lt;&gt;10,0))</f>
        <v>0</v>
      </c>
      <c r="F397" s="6">
        <f t="shared" si="72"/>
        <v>0</v>
      </c>
      <c r="G397" s="6">
        <f t="shared" si="73"/>
        <v>0</v>
      </c>
    </row>
    <row r="398" spans="1:7" s="6" customFormat="1" hidden="1" x14ac:dyDescent="0.25">
      <c r="G398" s="32">
        <f>SUM(G316:G397)</f>
        <v>780551</v>
      </c>
    </row>
    <row r="399" spans="1:7" s="6" customFormat="1" hidden="1" x14ac:dyDescent="0.25"/>
    <row r="400" spans="1:7" s="6" customFormat="1" hidden="1" x14ac:dyDescent="0.25">
      <c r="A400" s="6">
        <v>494472</v>
      </c>
      <c r="B400" s="6" t="str">
        <f>VLOOKUP(A400,SAP!$1:$1048576,2,FALSE)</f>
        <v>Pochwyt zlicowany PatioLife 43mm R01.1</v>
      </c>
      <c r="C400" s="8">
        <f>H98</f>
        <v>2</v>
      </c>
      <c r="D400" s="8">
        <f>IF(C400=1,0,IF(C400=2,A400,IF(C400=3,A401,IF(C400=4,A402,IF(C400=5,A403,IF(C400=6,A404,IF(C400=7,A405)))))))</f>
        <v>494472</v>
      </c>
    </row>
    <row r="401" spans="1:4" s="6" customFormat="1" hidden="1" x14ac:dyDescent="0.25">
      <c r="A401" s="6">
        <v>623221</v>
      </c>
      <c r="B401" s="6" t="str">
        <f>VLOOKUP(A401,SAP!$1:$1048576,2,FALSE)</f>
        <v>Pochwyt zlicowany PatioLife 43mm R01.3</v>
      </c>
    </row>
    <row r="402" spans="1:4" s="6" customFormat="1" hidden="1" x14ac:dyDescent="0.25">
      <c r="A402" s="6">
        <v>494473</v>
      </c>
      <c r="B402" s="6" t="str">
        <f>VLOOKUP(A402,SAP!$1:$1048576,2,FALSE)</f>
        <v>Pochwyt zlicowany PatioLife 43mm R05.3</v>
      </c>
    </row>
    <row r="403" spans="1:4" s="6" customFormat="1" hidden="1" x14ac:dyDescent="0.25">
      <c r="A403" s="6">
        <v>614625</v>
      </c>
      <c r="B403" s="6" t="str">
        <f>VLOOKUP(A403,SAP!$1:$1048576,2,FALSE)</f>
        <v>Pochwyt zlicowany PatioLife 43mm R05.5</v>
      </c>
    </row>
    <row r="404" spans="1:4" s="6" customFormat="1" hidden="1" x14ac:dyDescent="0.25">
      <c r="A404" s="6">
        <v>494474</v>
      </c>
      <c r="B404" s="6" t="str">
        <f>VLOOKUP(A404,SAP!$1:$1048576,2,FALSE)</f>
        <v>Pochwyt zlicowany PatioLife 43mm R07.2</v>
      </c>
    </row>
    <row r="405" spans="1:4" s="6" customFormat="1" hidden="1" x14ac:dyDescent="0.25">
      <c r="A405" s="6">
        <v>605551</v>
      </c>
      <c r="B405" s="6" t="str">
        <f>VLOOKUP(A405,SAP!1:1048576,2,FALSE)</f>
        <v>Pochwyt zew. 43MM R06.2 IS</v>
      </c>
    </row>
    <row r="406" spans="1:4" s="6" customFormat="1" hidden="1" x14ac:dyDescent="0.25"/>
    <row r="407" spans="1:4" s="6" customFormat="1" hidden="1" x14ac:dyDescent="0.25">
      <c r="A407" s="6">
        <v>494472</v>
      </c>
      <c r="B407" s="6" t="str">
        <f>VLOOKUP(A407,SAP!$1:$1048576,2,FALSE)</f>
        <v>Pochwyt zlicowany PatioLife 43mm R01.1</v>
      </c>
      <c r="C407" s="8">
        <f>N98</f>
        <v>1</v>
      </c>
      <c r="D407" s="8">
        <f>IF(C407=1,0,IF(C407=2,A407,IF(C407=3,A408,IF(C407=4,A409,IF(C407=5,A410,IF(C407=6,A411,IF(C407=7,A412)))))))</f>
        <v>0</v>
      </c>
    </row>
    <row r="408" spans="1:4" s="6" customFormat="1" hidden="1" x14ac:dyDescent="0.25">
      <c r="A408" s="6">
        <v>623221</v>
      </c>
      <c r="B408" s="6" t="str">
        <f>VLOOKUP(A408,SAP!$1:$1048576,2,FALSE)</f>
        <v>Pochwyt zlicowany PatioLife 43mm R01.3</v>
      </c>
    </row>
    <row r="409" spans="1:4" s="6" customFormat="1" hidden="1" x14ac:dyDescent="0.25">
      <c r="A409" s="6">
        <v>494473</v>
      </c>
      <c r="B409" s="6" t="str">
        <f>VLOOKUP(A409,SAP!$1:$1048576,2,FALSE)</f>
        <v>Pochwyt zlicowany PatioLife 43mm R05.3</v>
      </c>
    </row>
    <row r="410" spans="1:4" s="6" customFormat="1" hidden="1" x14ac:dyDescent="0.25">
      <c r="A410" s="6">
        <v>614625</v>
      </c>
      <c r="B410" s="6" t="str">
        <f>VLOOKUP(A410,SAP!$1:$1048576,2,FALSE)</f>
        <v>Pochwyt zlicowany PatioLife 43mm R05.5</v>
      </c>
    </row>
    <row r="411" spans="1:4" s="6" customFormat="1" hidden="1" x14ac:dyDescent="0.25">
      <c r="A411" s="6">
        <v>494474</v>
      </c>
      <c r="B411" s="6" t="str">
        <f>VLOOKUP(A411,SAP!$1:$1048576,2,FALSE)</f>
        <v>Pochwyt zlicowany PatioLife 43mm R07.2</v>
      </c>
    </row>
    <row r="412" spans="1:4" s="6" customFormat="1" hidden="1" x14ac:dyDescent="0.25">
      <c r="A412" s="6">
        <v>605551</v>
      </c>
      <c r="B412" s="6" t="str">
        <f>VLOOKUP(A412,SAP!1:1048576,2,FALSE)</f>
        <v>Pochwyt zew. 43MM R06.2 IS</v>
      </c>
    </row>
    <row r="413" spans="1:4" s="6" customFormat="1" hidden="1" x14ac:dyDescent="0.25">
      <c r="A413" s="6">
        <v>817180</v>
      </c>
      <c r="B413" s="6" t="str">
        <f>VLOOKUP(A413,SAP!1:1048576,2,FALSE)</f>
        <v>Zestaw śrub M5X70 (2szt.)</v>
      </c>
    </row>
    <row r="414" spans="1:4" s="6" customFormat="1" hidden="1" x14ac:dyDescent="0.25"/>
    <row r="415" spans="1:4" s="6" customFormat="1" hidden="1" x14ac:dyDescent="0.25">
      <c r="B415" s="107" t="s">
        <v>1205</v>
      </c>
      <c r="C415" s="6" t="str">
        <f>SAP!A101</f>
        <v>brak</v>
      </c>
    </row>
    <row r="416" spans="1:4" s="6" customFormat="1" hidden="1" x14ac:dyDescent="0.25">
      <c r="A416" s="6">
        <v>820028</v>
      </c>
      <c r="B416" s="6" t="str">
        <f>VLOOKUP(A416,SAP!A151:G476,2,0)</f>
        <v>Pochwyt zlicowany 43mm R01.1 PIN</v>
      </c>
      <c r="C416" s="6" t="str">
        <f>SAP!A89</f>
        <v>R01.1 Naturalny srebrny</v>
      </c>
    </row>
    <row r="417" spans="1:4" s="6" customFormat="1" hidden="1" x14ac:dyDescent="0.25">
      <c r="A417" s="6">
        <v>820029</v>
      </c>
      <c r="B417" s="6" t="str">
        <f>VLOOKUP(A417,SAP!A152:G477,2,0)</f>
        <v>Pochwyt zlicowany 43mm R01.2 PIN</v>
      </c>
      <c r="C417" s="6" t="str">
        <f>SAP!A90</f>
        <v>R01.2 Nowy srebrny</v>
      </c>
    </row>
    <row r="418" spans="1:4" s="6" customFormat="1" hidden="1" x14ac:dyDescent="0.25">
      <c r="A418" s="6">
        <v>820030</v>
      </c>
      <c r="B418" s="6" t="str">
        <f>VLOOKUP(A418,SAP!A153:G478,2,0)</f>
        <v>Pochwyt zlicowany 43mm R01.3 PIN</v>
      </c>
      <c r="C418" s="6" t="str">
        <f>SAP!A91</f>
        <v>R01.3 Tytan</v>
      </c>
    </row>
    <row r="419" spans="1:4" s="6" customFormat="1" hidden="1" x14ac:dyDescent="0.25">
      <c r="A419" s="6">
        <v>820031</v>
      </c>
      <c r="B419" s="6" t="str">
        <f>VLOOKUP(A419,SAP!A154:G479,2,0)</f>
        <v>Pochwyt zlicowany 43mm R01.5 PIN</v>
      </c>
      <c r="C419" s="6" t="str">
        <f>SAP!A92</f>
        <v>R01.5 Srebrny</v>
      </c>
    </row>
    <row r="420" spans="1:4" s="6" customFormat="1" hidden="1" x14ac:dyDescent="0.25">
      <c r="A420" s="6">
        <v>820032</v>
      </c>
      <c r="B420" s="6" t="str">
        <f>VLOOKUP(A420,SAP!A155:G480,2,0)</f>
        <v>Pochwyt zlicowany 43mm R02.2 PIN</v>
      </c>
      <c r="C420" s="6" t="str">
        <f>SAP!A93</f>
        <v>R02.2 Antracyt</v>
      </c>
    </row>
    <row r="421" spans="1:4" s="6" customFormat="1" hidden="1" x14ac:dyDescent="0.25">
      <c r="A421" s="6">
        <v>820033</v>
      </c>
      <c r="B421" s="6" t="str">
        <f>VLOOKUP(A421,SAP!A156:G481,2,0)</f>
        <v>Pochwyt zlicowany 43mm R05.3 PIN</v>
      </c>
      <c r="C421" s="6" t="str">
        <f>SAP!A94</f>
        <v>R05.3 Średni brąz</v>
      </c>
    </row>
    <row r="422" spans="1:4" s="6" customFormat="1" hidden="1" x14ac:dyDescent="0.25">
      <c r="A422" s="6">
        <v>820034</v>
      </c>
      <c r="B422" s="6" t="str">
        <f>VLOOKUP(A422,SAP!A157:G482,2,0)</f>
        <v>Pochwyt zlicowany 43mm R05.4 PIN</v>
      </c>
      <c r="C422" s="6" t="str">
        <f>SAP!A95</f>
        <v>R05.4 Ciemny brąz</v>
      </c>
    </row>
    <row r="423" spans="1:4" s="6" customFormat="1" hidden="1" x14ac:dyDescent="0.25">
      <c r="A423" s="6">
        <v>820055</v>
      </c>
      <c r="B423" s="6" t="str">
        <f>VLOOKUP(A423,SAP!A158:G483,2,0)</f>
        <v>Pochwyt zlicowany 43mm R05.5 PIN</v>
      </c>
      <c r="C423" s="6" t="str">
        <f>SAP!A96</f>
        <v>R05.5 Brązowy</v>
      </c>
    </row>
    <row r="424" spans="1:4" s="6" customFormat="1" hidden="1" x14ac:dyDescent="0.25">
      <c r="A424" s="6">
        <v>820070</v>
      </c>
      <c r="B424" s="6" t="str">
        <f>VLOOKUP(A424,SAP!A159:G484,2,0)</f>
        <v>Pochwyt zlicowany 43mm R06.2M PIN</v>
      </c>
      <c r="C424" s="6" t="str">
        <f>SAP!A97</f>
        <v>R06.2M Czarny Mat</v>
      </c>
    </row>
    <row r="425" spans="1:4" s="6" customFormat="1" hidden="1" x14ac:dyDescent="0.25">
      <c r="A425" s="6">
        <v>820057</v>
      </c>
      <c r="B425" s="6" t="str">
        <f>VLOOKUP(A425,SAP!A160:G485,2,0)</f>
        <v>Pochwyt zlicowany 43mm R07.2 PIN</v>
      </c>
      <c r="C425" s="6" t="str">
        <f>SAP!A98</f>
        <v>R07.2 Biały</v>
      </c>
    </row>
    <row r="426" spans="1:4" s="6" customFormat="1" hidden="1" x14ac:dyDescent="0.25">
      <c r="A426" s="6">
        <v>820058</v>
      </c>
      <c r="B426" s="6" t="str">
        <f>VLOOKUP(A426,SAP!A161:G486,2,0)</f>
        <v>Pochwyt zlicowany 43mm R07.3 PIN</v>
      </c>
      <c r="C426" s="6" t="str">
        <f>SAP!A99</f>
        <v>R07.3 Kremowy</v>
      </c>
    </row>
    <row r="427" spans="1:4" s="6" customFormat="1" hidden="1" x14ac:dyDescent="0.25">
      <c r="A427" s="6">
        <v>820059</v>
      </c>
      <c r="B427" s="6" t="str">
        <f>VLOOKUP(A427,SAP!A162:G487,2,0)</f>
        <v>Pochwyt zlicowany 43mm surowy PIN</v>
      </c>
      <c r="C427" s="6" t="str">
        <f>SAP!A100</f>
        <v>surowy</v>
      </c>
    </row>
    <row r="428" spans="1:4" s="6" customFormat="1" hidden="1" x14ac:dyDescent="0.25">
      <c r="B428" s="107" t="s">
        <v>1213</v>
      </c>
      <c r="C428" s="106">
        <v>2</v>
      </c>
      <c r="D428" s="8">
        <f>IF(C428=1,0,IF(C428=2,A416,IF(C428=3,A417,IF(C428=4,A418,IF(C428=5,A419,IF(C428=6,A420,IF(C428=7,A421,IF(C428=8,A422,IF(C428=9,A423,IF(C428=10,A424,IF(C428=11,A425,IF(C428=12,A426,IF(C428=13,A427)))))))))))))</f>
        <v>820028</v>
      </c>
    </row>
    <row r="429" spans="1:4" s="6" customFormat="1" hidden="1" x14ac:dyDescent="0.25">
      <c r="B429" s="107" t="s">
        <v>1214</v>
      </c>
      <c r="C429" s="32">
        <v>1</v>
      </c>
      <c r="D429" s="8">
        <f>IF(C429=1,0,IF(C429=2,A416,IF(C429=3,A417,IF(C429=4,A418,IF(C429=5,A419,IF(C429=6,A420,IF(C429=7,A421,IF(C429=8,A422,IF(C429=9,A423,IF(C429=10,A424,IF(C429=11,A425,IF(C429=12,A426,IF(C429=13,A427)))))))))))))</f>
        <v>0</v>
      </c>
    </row>
    <row r="430" spans="1:4" s="6" customFormat="1" hidden="1" x14ac:dyDescent="0.25"/>
    <row r="431" spans="1:4" s="6" customFormat="1" hidden="1" x14ac:dyDescent="0.25">
      <c r="A431" s="6">
        <v>350401</v>
      </c>
      <c r="B431" s="6" t="str">
        <f>VLOOKUP(A431,SAP!A146:G473,2,0)</f>
        <v>Nakładka naprawcza-łącznik okuć NT</v>
      </c>
      <c r="C431" s="11" t="b">
        <v>0</v>
      </c>
      <c r="D431" s="6">
        <f>IF(C431=TRUE,A431,0)</f>
        <v>0</v>
      </c>
    </row>
    <row r="432" spans="1:4" s="6" customFormat="1" hidden="1" x14ac:dyDescent="0.25">
      <c r="A432" s="6">
        <v>809520</v>
      </c>
      <c r="B432" s="6" t="str">
        <f>VLOOKUP(A432,SAP!A181:G481,2,0)</f>
        <v>Szczotka wózka PIN</v>
      </c>
      <c r="C432" s="126" t="b">
        <v>0</v>
      </c>
      <c r="D432" s="6">
        <f>IF(C432=TRUE,A432,0)</f>
        <v>0</v>
      </c>
    </row>
    <row r="433" spans="1:5" s="6" customFormat="1" hidden="1" x14ac:dyDescent="0.25"/>
    <row r="434" spans="1:5" s="6" customFormat="1" hidden="1" x14ac:dyDescent="0.25"/>
    <row r="435" spans="1:5" s="6" customFormat="1" hidden="1" x14ac:dyDescent="0.25"/>
    <row r="436" spans="1:5" s="6" customFormat="1" hidden="1" x14ac:dyDescent="0.25"/>
    <row r="437" spans="1:5" s="6" customFormat="1" hidden="1" x14ac:dyDescent="0.25"/>
    <row r="438" spans="1:5" s="6" customFormat="1" hidden="1" x14ac:dyDescent="0.25"/>
    <row r="439" spans="1:5" s="6" customFormat="1" hidden="1" x14ac:dyDescent="0.25"/>
    <row r="440" spans="1:5" s="6" customFormat="1" hidden="1" x14ac:dyDescent="0.25"/>
    <row r="441" spans="1:5" s="6" customFormat="1" hidden="1" x14ac:dyDescent="0.25">
      <c r="A441" s="5"/>
      <c r="B441" s="5"/>
      <c r="C441" s="5"/>
      <c r="D441" s="5"/>
      <c r="E441" s="5"/>
    </row>
  </sheetData>
  <sheetProtection password="DD29" sheet="1" objects="1" scenarios="1"/>
  <mergeCells count="1">
    <mergeCell ref="A19:B21"/>
  </mergeCells>
  <conditionalFormatting sqref="B44:B45">
    <cfRule type="containsText" dxfId="14" priority="1" operator="containsText" text="DOBÓR NIEMOŻLIWY">
      <formula>NOT(ISERROR(SEARCH("DOBÓR NIEMOŻLIWY",B44)))</formula>
    </cfRule>
  </conditionalFormatting>
  <hyperlinks>
    <hyperlink ref="A5" location="'Schemat A'!A1" display="Schemat A"/>
    <hyperlink ref="A7" location="'Schemat A′'!A1" display="Schemat A'"/>
    <hyperlink ref="A8" location="'Schemat C'!A1" display="Schemat C"/>
    <hyperlink ref="A9" location="'Schemat C′'!A1" display="Schemat C'"/>
    <hyperlink ref="A10" location="'Schemat K'!A1" display="Schemat K"/>
    <hyperlink ref="A11" location="'Schemat K′'!A1" display="Schemat K'"/>
    <hyperlink ref="D1" location="'Schemat A'!A1" display="Powrót "/>
    <hyperlink ref="B86" location="Szablony!A1" display="Zamówienie szablonów"/>
    <hyperlink ref="A6" location="'Schemat A RC2'!A1" display="'Schemat A RC2'!A1"/>
  </hyperlinks>
  <pageMargins left="0.7" right="0.7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List Box 3">
              <controlPr defaultSize="0" autoLine="0" autoPict="0">
                <anchor moveWithCells="1">
                  <from>
                    <xdr:col>1</xdr:col>
                    <xdr:colOff>2809875</xdr:colOff>
                    <xdr:row>21</xdr:row>
                    <xdr:rowOff>19050</xdr:rowOff>
                  </from>
                  <to>
                    <xdr:col>2</xdr:col>
                    <xdr:colOff>847725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List Box 4">
              <controlPr defaultSize="0" autoLine="0" autoPict="0">
                <anchor moveWithCells="1">
                  <from>
                    <xdr:col>1</xdr:col>
                    <xdr:colOff>3438525</xdr:colOff>
                    <xdr:row>4</xdr:row>
                    <xdr:rowOff>0</xdr:rowOff>
                  </from>
                  <to>
                    <xdr:col>2</xdr:col>
                    <xdr:colOff>847725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List Box 5">
              <controlPr defaultSize="0" autoLine="0" autoPict="0">
                <anchor moveWithCells="1">
                  <from>
                    <xdr:col>0</xdr:col>
                    <xdr:colOff>28575</xdr:colOff>
                    <xdr:row>29</xdr:row>
                    <xdr:rowOff>200025</xdr:rowOff>
                  </from>
                  <to>
                    <xdr:col>1</xdr:col>
                    <xdr:colOff>428625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List Box 6">
              <controlPr defaultSize="0" autoLine="0" autoPict="0">
                <anchor moveWithCells="1">
                  <from>
                    <xdr:col>1</xdr:col>
                    <xdr:colOff>1057275</xdr:colOff>
                    <xdr:row>31</xdr:row>
                    <xdr:rowOff>66675</xdr:rowOff>
                  </from>
                  <to>
                    <xdr:col>1</xdr:col>
                    <xdr:colOff>2600325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Drop Down 7">
              <controlPr defaultSize="0" autoLine="0" autoPict="0">
                <anchor moveWithCells="1">
                  <from>
                    <xdr:col>0</xdr:col>
                    <xdr:colOff>28575</xdr:colOff>
                    <xdr:row>35</xdr:row>
                    <xdr:rowOff>9525</xdr:rowOff>
                  </from>
                  <to>
                    <xdr:col>1</xdr:col>
                    <xdr:colOff>200025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9" name="List Box 12">
              <controlPr defaultSize="0" autoLine="0" autoPict="0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1</xdr:col>
                    <xdr:colOff>1371600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List Box 14">
              <controlPr defaultSize="0" autoLine="0" autoPict="0">
                <anchor moveWithCells="1">
                  <from>
                    <xdr:col>1</xdr:col>
                    <xdr:colOff>2819400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Drop Down 15">
              <controlPr defaultSize="0" autoLine="0" autoPict="0">
                <anchor moveWithCells="1">
                  <from>
                    <xdr:col>1</xdr:col>
                    <xdr:colOff>2819400</xdr:colOff>
                    <xdr:row>35</xdr:row>
                    <xdr:rowOff>19050</xdr:rowOff>
                  </from>
                  <to>
                    <xdr:col>2</xdr:col>
                    <xdr:colOff>847725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2" name="List Box 17">
              <controlPr defaultSize="0" autoLine="0" autoPict="0">
                <anchor moveWithCells="1">
                  <from>
                    <xdr:col>3</xdr:col>
                    <xdr:colOff>323850</xdr:colOff>
                    <xdr:row>1</xdr:row>
                    <xdr:rowOff>57150</xdr:rowOff>
                  </from>
                  <to>
                    <xdr:col>3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Check Box 18">
              <controlPr defaultSize="0" autoFill="0" autoLine="0" autoPict="0">
                <anchor moveWithCells="1">
                  <from>
                    <xdr:col>1</xdr:col>
                    <xdr:colOff>638175</xdr:colOff>
                    <xdr:row>39</xdr:row>
                    <xdr:rowOff>0</xdr:rowOff>
                  </from>
                  <to>
                    <xdr:col>1</xdr:col>
                    <xdr:colOff>2295525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List Box 19">
              <controlPr defaultSize="0" autoLine="0" autoPict="0">
                <anchor moveWithCells="1">
                  <from>
                    <xdr:col>0</xdr:col>
                    <xdr:colOff>28575</xdr:colOff>
                    <xdr:row>25</xdr:row>
                    <xdr:rowOff>76200</xdr:rowOff>
                  </from>
                  <to>
                    <xdr:col>1</xdr:col>
                    <xdr:colOff>200025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5" name="List Box 20">
              <controlPr defaultSize="0" autoLine="0" autoPict="0">
                <anchor moveWithCells="1">
                  <from>
                    <xdr:col>1</xdr:col>
                    <xdr:colOff>2809875</xdr:colOff>
                    <xdr:row>25</xdr:row>
                    <xdr:rowOff>57150</xdr:rowOff>
                  </from>
                  <to>
                    <xdr:col>2</xdr:col>
                    <xdr:colOff>838200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6" name="Check Box 21">
              <controlPr defaultSize="0" autoFill="0" autoLine="0" autoPict="0" altText="Stosowanie szczotek wózka_x000a_">
                <anchor moveWithCells="1">
                  <from>
                    <xdr:col>1</xdr:col>
                    <xdr:colOff>647700</xdr:colOff>
                    <xdr:row>41</xdr:row>
                    <xdr:rowOff>0</xdr:rowOff>
                  </from>
                  <to>
                    <xdr:col>1</xdr:col>
                    <xdr:colOff>2305050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" name="Check Box 22">
              <controlPr defaultSize="0" autoFill="0" autoLine="0" autoPict="0">
                <anchor moveWithCells="1">
                  <from>
                    <xdr:col>1</xdr:col>
                    <xdr:colOff>647700</xdr:colOff>
                    <xdr:row>40</xdr:row>
                    <xdr:rowOff>19050</xdr:rowOff>
                  </from>
                  <to>
                    <xdr:col>2</xdr:col>
                    <xdr:colOff>571500</xdr:colOff>
                    <xdr:row>40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A1:U429"/>
  <sheetViews>
    <sheetView zoomScale="70" zoomScaleNormal="70" workbookViewId="0">
      <selection activeCell="B463" sqref="B463"/>
    </sheetView>
  </sheetViews>
  <sheetFormatPr defaultRowHeight="15" x14ac:dyDescent="0.25"/>
  <cols>
    <col min="1" max="1" width="12.7109375" style="37" customWidth="1"/>
    <col min="2" max="2" width="52.5703125" style="37" customWidth="1"/>
    <col min="3" max="3" width="12.85546875" style="37" customWidth="1"/>
    <col min="4" max="4" width="15.5703125" style="37" bestFit="1" customWidth="1"/>
    <col min="5" max="5" width="9.85546875" style="37" bestFit="1" customWidth="1"/>
    <col min="6" max="6" width="12.7109375" style="37" bestFit="1" customWidth="1"/>
    <col min="7" max="7" width="9.140625" style="37"/>
    <col min="8" max="8" width="14.140625" style="37" bestFit="1" customWidth="1"/>
    <col min="9" max="12" width="9.140625" style="37"/>
    <col min="13" max="13" width="10" style="37" bestFit="1" customWidth="1"/>
    <col min="14" max="14" width="9.140625" style="37"/>
    <col min="15" max="15" width="21.42578125" style="37" bestFit="1" customWidth="1"/>
    <col min="16" max="16" width="20.7109375" style="37" bestFit="1" customWidth="1"/>
    <col min="17" max="17" width="24.28515625" style="37" bestFit="1" customWidth="1"/>
    <col min="18" max="18" width="23.42578125" style="37" bestFit="1" customWidth="1"/>
    <col min="19" max="16384" width="9.140625" style="37"/>
  </cols>
  <sheetData>
    <row r="1" spans="1:21" x14ac:dyDescent="0.25">
      <c r="A1" s="35"/>
      <c r="B1" s="35"/>
      <c r="C1" s="35"/>
      <c r="D1" s="36" t="str">
        <f>SAP!A32</f>
        <v xml:space="preserve">Powrót 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31.5" x14ac:dyDescent="0.5">
      <c r="A2" s="38" t="str">
        <f>SAP!A15</f>
        <v>Roto Patio Inowa Schemat C'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25">
      <c r="A3" s="35" t="str">
        <f>SAP!A16</f>
        <v>(dobór przygotowany wg instrukcji IMO_403_DE_v7)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5.75" x14ac:dyDescent="0.25">
      <c r="A4" s="39" t="str">
        <f>SAP!A17</f>
        <v xml:space="preserve">Wybór schematu:                                      </v>
      </c>
      <c r="B4" s="40"/>
      <c r="C4" s="41" t="str">
        <f>SAP!A31</f>
        <v xml:space="preserve">  Profil: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25">
      <c r="A5" s="42" t="str">
        <f>SAP!A18</f>
        <v>Schemat A</v>
      </c>
      <c r="B5" s="43" t="str">
        <f>SAP!A25</f>
        <v>TYLKO PVC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25">
      <c r="A6" s="42" t="str">
        <f>SAP!A20</f>
        <v>Schemat A' w opracowaniu</v>
      </c>
      <c r="B6" s="43" t="str">
        <f>SAP!A26</f>
        <v>TYLKO DREWNO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42" t="str">
        <f>SAP!A21</f>
        <v>Schemat C</v>
      </c>
      <c r="B7" s="43" t="str">
        <f>SAP!A27</f>
        <v>TYLKO PVC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25">
      <c r="A8" s="42" t="str">
        <f>SAP!A22</f>
        <v>Schemat C' w opracowaniu</v>
      </c>
      <c r="B8" s="43" t="str">
        <f>SAP!A28</f>
        <v>TYLKO DREWNO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42" t="str">
        <f>SAP!A23</f>
        <v>Schemat K w opracowaniu</v>
      </c>
      <c r="B9" s="43" t="str">
        <f>SAP!A29</f>
        <v>TYLKO PVC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ht="15.75" thickBot="1" x14ac:dyDescent="0.3">
      <c r="A10" s="42" t="str">
        <f>SAP!A24</f>
        <v>Schemat K' w opracowaniu</v>
      </c>
      <c r="B10" s="43" t="str">
        <f>SAP!A30</f>
        <v>TYLKO DREWNO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24.75" thickBot="1" x14ac:dyDescent="0.3">
      <c r="A11" s="44" t="str">
        <f>SAP!A33</f>
        <v>Wymiary:</v>
      </c>
      <c r="B11" s="45" t="str">
        <f>SAP!A34</f>
        <v>Ciężar skrzydła max 200 kg</v>
      </c>
      <c r="C11" s="100" t="str">
        <f>SAP!A35</f>
        <v>Uzupełniamy żółte pola ↓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19.5" thickBot="1" x14ac:dyDescent="0.35">
      <c r="A12" s="44" t="str">
        <f>SAP!A36</f>
        <v>Szerokość ościeżnicy FB:</v>
      </c>
      <c r="B12" s="35"/>
      <c r="C12" s="33">
        <v>5000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9.5" thickBot="1" x14ac:dyDescent="0.35">
      <c r="A13" s="44" t="str">
        <f>SAP!A37</f>
        <v>Wysokość ościeżnicy FH:</v>
      </c>
      <c r="C13" s="33">
        <v>2250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8.75" x14ac:dyDescent="0.3">
      <c r="A14" s="35" t="str">
        <f>SAP!A38</f>
        <v>FFB szerokość skrzydła na wrębie (min: 710 mm; max: 1500 mm):</v>
      </c>
      <c r="B14" s="35"/>
      <c r="C14" s="46">
        <f>D93</f>
        <v>1196</v>
      </c>
      <c r="D14" s="47" t="str">
        <f>IF(C14&lt;710,SAP!A72,IF(C14&lt;=1500,"OK",IF(C14&gt;1500,SAP!A73)))</f>
        <v>OK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ht="18.75" x14ac:dyDescent="0.3">
      <c r="A15" s="35" t="str">
        <f>SAP!A39</f>
        <v>FFH wysokość skrzydła na wrębie (min: 600 mm; max: 2500 mm):</v>
      </c>
      <c r="C15" s="48">
        <f>C93</f>
        <v>2116</v>
      </c>
      <c r="D15" s="47" t="str">
        <f>IF(C15&lt;=589,SAP!A74,IF(C15&lt;=2500,"OK",IF(C15&gt;2501,SAP!A75)))</f>
        <v>OK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5.75" x14ac:dyDescent="0.25">
      <c r="A16" s="35" t="str">
        <f>SAP!A41</f>
        <v>Proporcje: max 2:1</v>
      </c>
      <c r="B16" s="35"/>
      <c r="C16" s="49" t="str">
        <f>F93</f>
        <v>prawidłowe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6.5" thickBot="1" x14ac:dyDescent="0.3">
      <c r="B17" s="50" t="str">
        <f>SAP!A42</f>
        <v>Ilość: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9.5" customHeight="1" thickBot="1" x14ac:dyDescent="0.35">
      <c r="A18" s="133" t="str">
        <f>SAP!A49</f>
        <v>Rodzaj zasuwnicy w skrzydle czynnym (z wkładką bębenkową FFH&gt;1801):</v>
      </c>
      <c r="B18" s="133"/>
      <c r="C18" s="33">
        <v>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8.75" x14ac:dyDescent="0.3">
      <c r="A19" s="133"/>
      <c r="B19" s="133"/>
      <c r="C19" s="60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ht="15.75" x14ac:dyDescent="0.25">
      <c r="A20" s="133"/>
      <c r="B20" s="133"/>
      <c r="C20" s="41" t="str">
        <f>SAP!A47</f>
        <v xml:space="preserve">  Kolor osłonek: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x14ac:dyDescent="0.25">
      <c r="A23" s="43" t="str">
        <f>M194</f>
        <v/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ht="15.75" x14ac:dyDescent="0.25">
      <c r="A24" s="44" t="str">
        <f>SAP!A78</f>
        <v>Dornmass - skrzydło czynne:</v>
      </c>
      <c r="B24" s="35"/>
      <c r="C24" s="50" t="str">
        <f>SAP!A79</f>
        <v>Dornmass - skrzydło bierne: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ht="15.75" x14ac:dyDescent="0.25">
      <c r="A25" s="61"/>
      <c r="B25" s="62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ht="15.75" x14ac:dyDescent="0.25">
      <c r="A26" s="63" t="str">
        <f>SAP!A76</f>
        <v>Klamka skrzydło czynne:</v>
      </c>
      <c r="C26" s="50" t="str">
        <f>SAP!A77</f>
        <v>Klamka skrzydło bierne: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5.75" x14ac:dyDescent="0.25">
      <c r="A27" s="35"/>
      <c r="B27" s="64" t="str">
        <f>SAP!A51</f>
        <v>Kolor klamki:</v>
      </c>
      <c r="C27" s="40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5">
      <c r="A28" s="35"/>
      <c r="B28" s="35"/>
      <c r="C28" s="4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5">
      <c r="A29" s="35"/>
      <c r="B29" s="35"/>
      <c r="C29" s="40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x14ac:dyDescent="0.25">
      <c r="A30" s="35"/>
      <c r="B30" s="35"/>
      <c r="C30" s="40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ht="15.75" x14ac:dyDescent="0.25">
      <c r="A31" s="44" t="str">
        <f>SAP!A52</f>
        <v>Trzpień:</v>
      </c>
      <c r="B31" s="35"/>
      <c r="C31" s="50" t="str">
        <f>SAP!A52</f>
        <v>Trzpień: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x14ac:dyDescent="0.25">
      <c r="A32" s="35"/>
      <c r="B32" s="35"/>
      <c r="C32" s="40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ht="15.75" x14ac:dyDescent="0.25">
      <c r="A33" s="44" t="str">
        <f>SAP!A57</f>
        <v>Pochwyt od zewnątrz:</v>
      </c>
      <c r="B33" s="35"/>
      <c r="C33" s="50" t="str">
        <f>SAP!A57</f>
        <v>Pochwyt od zewnątrz: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x14ac:dyDescent="0.25">
      <c r="A34" s="35"/>
      <c r="B34" s="35"/>
      <c r="C34" s="40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x14ac:dyDescent="0.25">
      <c r="A35" s="35"/>
      <c r="B35" s="35"/>
      <c r="C35" s="40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ht="15.75" x14ac:dyDescent="0.25">
      <c r="A36" s="68" t="str">
        <f>SAP!A15</f>
        <v>Roto Patio Inowa Schemat C'</v>
      </c>
      <c r="B36" s="35"/>
      <c r="C36" s="69" t="s">
        <v>290</v>
      </c>
      <c r="D36" s="73">
        <f>D93</f>
        <v>1196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5.75" x14ac:dyDescent="0.25">
      <c r="A37" s="44" t="str">
        <f>SAP!A126</f>
        <v>Montaż okuć:</v>
      </c>
      <c r="B37" s="35"/>
      <c r="C37" s="69" t="s">
        <v>289</v>
      </c>
      <c r="D37" s="73">
        <f>C93</f>
        <v>2116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8.75" x14ac:dyDescent="0.3">
      <c r="A38" s="52" t="s">
        <v>31</v>
      </c>
      <c r="B38" s="52" t="str">
        <f>SAP!A66</f>
        <v>Artykuł</v>
      </c>
      <c r="C38" s="52" t="str">
        <f>SAP!A67</f>
        <v>Ilość szt .</v>
      </c>
      <c r="D38" s="52" t="str">
        <f>SAP!A68</f>
        <v>Na zlecenie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x14ac:dyDescent="0.25">
      <c r="A39" s="53">
        <f t="shared" ref="A39:B54" si="0">A95</f>
        <v>785927</v>
      </c>
      <c r="B39" s="37" t="str">
        <f t="shared" si="0"/>
        <v>Zasuwn. KSR 1890/1000 2V D50 PIN</v>
      </c>
      <c r="C39" s="53">
        <f t="shared" ref="C39:C58" si="1">E95</f>
        <v>1</v>
      </c>
      <c r="D39" s="53">
        <f t="shared" ref="D39:D71" si="2">C39*$E$92</f>
        <v>3</v>
      </c>
      <c r="E39" s="35" t="str">
        <f>SAP!A114</f>
        <v>zasuwnica skrzydła czynnego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x14ac:dyDescent="0.25">
      <c r="A40" s="53">
        <f t="shared" si="0"/>
        <v>785927</v>
      </c>
      <c r="B40" s="54" t="str">
        <f t="shared" si="0"/>
        <v>Zasuwn. KSR 1890/1000 2V D50 PIN</v>
      </c>
      <c r="C40" s="53">
        <f t="shared" si="1"/>
        <v>1</v>
      </c>
      <c r="D40" s="53">
        <f t="shared" si="2"/>
        <v>3</v>
      </c>
      <c r="E40" s="35" t="str">
        <f>SAP!A115</f>
        <v>zasuwnica skrzydła biernego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x14ac:dyDescent="0.25">
      <c r="A41" s="53">
        <f t="shared" si="0"/>
        <v>308267</v>
      </c>
      <c r="B41" s="53" t="str">
        <f t="shared" si="0"/>
        <v>Zamkn. środ. 200 łącz NTi</v>
      </c>
      <c r="C41" s="53">
        <f t="shared" si="1"/>
        <v>2</v>
      </c>
      <c r="D41" s="53">
        <f t="shared" si="2"/>
        <v>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x14ac:dyDescent="0.25">
      <c r="A42" s="53">
        <f t="shared" si="0"/>
        <v>603444</v>
      </c>
      <c r="B42" s="53" t="str">
        <f t="shared" si="0"/>
        <v>Zamk. środkowe góra 801-1000 NT ALV</v>
      </c>
      <c r="C42" s="53">
        <f t="shared" si="1"/>
        <v>4</v>
      </c>
      <c r="D42" s="53">
        <f t="shared" si="2"/>
        <v>12</v>
      </c>
      <c r="E42" s="43" t="str">
        <f>F98</f>
        <v/>
      </c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x14ac:dyDescent="0.25">
      <c r="A43" s="53">
        <f t="shared" si="0"/>
        <v>255281</v>
      </c>
      <c r="B43" s="53" t="str">
        <f t="shared" si="0"/>
        <v>Zamkn. środkowe 1E NT MV600</v>
      </c>
      <c r="C43" s="53">
        <f t="shared" si="1"/>
        <v>2</v>
      </c>
      <c r="D43" s="53">
        <f t="shared" si="2"/>
        <v>6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x14ac:dyDescent="0.25">
      <c r="A44" s="53">
        <f t="shared" si="0"/>
        <v>297858</v>
      </c>
      <c r="B44" s="53" t="str">
        <f t="shared" si="0"/>
        <v>Przedłużka zasuwn. NT MV400 bez zaczepu</v>
      </c>
      <c r="C44" s="53">
        <f t="shared" si="1"/>
        <v>2</v>
      </c>
      <c r="D44" s="53">
        <f t="shared" si="2"/>
        <v>6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x14ac:dyDescent="0.25">
      <c r="A45" s="53">
        <f t="shared" si="0"/>
        <v>0</v>
      </c>
      <c r="B45" s="53" t="str">
        <f t="shared" si="0"/>
        <v>__</v>
      </c>
      <c r="C45" s="53">
        <f t="shared" si="1"/>
        <v>0</v>
      </c>
      <c r="D45" s="53">
        <f t="shared" si="2"/>
        <v>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x14ac:dyDescent="0.25">
      <c r="A46" s="53">
        <f t="shared" si="0"/>
        <v>260272</v>
      </c>
      <c r="B46" s="53" t="str">
        <f t="shared" si="0"/>
        <v>Narożnik Ku/r NT/1V</v>
      </c>
      <c r="C46" s="53">
        <f t="shared" si="1"/>
        <v>4</v>
      </c>
      <c r="D46" s="53">
        <f t="shared" si="2"/>
        <v>12</v>
      </c>
      <c r="E46" s="35"/>
      <c r="F46" s="35"/>
      <c r="G46" s="35"/>
      <c r="H46" s="35"/>
      <c r="I46" s="35"/>
      <c r="J46" s="86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1" x14ac:dyDescent="0.25">
      <c r="A47" s="53">
        <f t="shared" si="0"/>
        <v>260275</v>
      </c>
      <c r="B47" s="53" t="str">
        <f t="shared" si="0"/>
        <v>Narożnik NT/1E</v>
      </c>
      <c r="C47" s="53">
        <f t="shared" si="1"/>
        <v>4</v>
      </c>
      <c r="D47" s="53">
        <f t="shared" si="2"/>
        <v>12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x14ac:dyDescent="0.25">
      <c r="A48" s="53">
        <f t="shared" si="0"/>
        <v>797726</v>
      </c>
      <c r="B48" s="53" t="str">
        <f t="shared" si="0"/>
        <v xml:space="preserve">Wózek DR 8 41 L PIN </v>
      </c>
      <c r="C48" s="53">
        <f t="shared" si="1"/>
        <v>3</v>
      </c>
      <c r="D48" s="53">
        <f t="shared" si="2"/>
        <v>9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21" x14ac:dyDescent="0.25">
      <c r="A49" s="53">
        <f t="shared" si="0"/>
        <v>797727</v>
      </c>
      <c r="B49" s="53" t="str">
        <f t="shared" si="0"/>
        <v xml:space="preserve">Wózek DR 8 41 R PIN </v>
      </c>
      <c r="C49" s="53">
        <f t="shared" si="1"/>
        <v>3</v>
      </c>
      <c r="D49" s="53">
        <f t="shared" si="2"/>
        <v>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x14ac:dyDescent="0.25">
      <c r="A50" s="53">
        <f t="shared" si="0"/>
        <v>797728</v>
      </c>
      <c r="B50" s="53" t="str">
        <f t="shared" si="0"/>
        <v>Jednostka ster. DR 8 41 L PIN</v>
      </c>
      <c r="C50" s="53">
        <f t="shared" si="1"/>
        <v>3</v>
      </c>
      <c r="D50" s="53">
        <f t="shared" si="2"/>
        <v>9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x14ac:dyDescent="0.25">
      <c r="A51" s="53">
        <f t="shared" si="0"/>
        <v>797729</v>
      </c>
      <c r="B51" s="53" t="str">
        <f t="shared" si="0"/>
        <v>Jednostka ster. DR 8 41 R PIN</v>
      </c>
      <c r="C51" s="53">
        <f t="shared" si="1"/>
        <v>3</v>
      </c>
      <c r="D51" s="53">
        <f t="shared" si="2"/>
        <v>9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</row>
    <row r="52" spans="1:21" x14ac:dyDescent="0.25">
      <c r="A52" s="53">
        <f t="shared" si="0"/>
        <v>797730</v>
      </c>
      <c r="B52" s="53" t="str">
        <f t="shared" si="0"/>
        <v>Docisk środkowy DR 8 41 L PIN</v>
      </c>
      <c r="C52" s="53">
        <f t="shared" si="1"/>
        <v>3</v>
      </c>
      <c r="D52" s="53">
        <f t="shared" si="2"/>
        <v>9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spans="1:21" x14ac:dyDescent="0.25">
      <c r="A53" s="53">
        <f t="shared" si="0"/>
        <v>797732</v>
      </c>
      <c r="B53" s="53" t="str">
        <f t="shared" si="0"/>
        <v>Docisk środkowy DR 8 41 R PIN</v>
      </c>
      <c r="C53" s="53">
        <f t="shared" si="1"/>
        <v>3</v>
      </c>
      <c r="D53" s="53">
        <f t="shared" si="2"/>
        <v>9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21" x14ac:dyDescent="0.25">
      <c r="A54" s="53">
        <f t="shared" si="0"/>
        <v>764350</v>
      </c>
      <c r="B54" s="53" t="str">
        <f t="shared" si="0"/>
        <v>Zamkn. środkowe 1E NTN MV130 łączone</v>
      </c>
      <c r="C54" s="53">
        <f t="shared" si="1"/>
        <v>12</v>
      </c>
      <c r="D54" s="53">
        <f t="shared" si="2"/>
        <v>36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21" x14ac:dyDescent="0.25">
      <c r="A55" s="53">
        <f t="shared" ref="A55:B58" si="3">A111</f>
        <v>771375</v>
      </c>
      <c r="B55" s="53" t="str">
        <f t="shared" si="3"/>
        <v>Trzpień docisku środkowego 34.4 PIN Holz</v>
      </c>
      <c r="C55" s="53">
        <f t="shared" si="1"/>
        <v>6</v>
      </c>
      <c r="D55" s="53">
        <f t="shared" si="2"/>
        <v>18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x14ac:dyDescent="0.25">
      <c r="A56" s="53">
        <f t="shared" si="3"/>
        <v>798223</v>
      </c>
      <c r="B56" s="53" t="str">
        <f t="shared" si="3"/>
        <v>Zaczep docisku MV-SEB Holz</v>
      </c>
      <c r="C56" s="53">
        <f t="shared" si="1"/>
        <v>6</v>
      </c>
      <c r="D56" s="53">
        <f t="shared" si="2"/>
        <v>18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spans="1:21" x14ac:dyDescent="0.25">
      <c r="A57" s="53">
        <f t="shared" si="3"/>
        <v>788175</v>
      </c>
      <c r="B57" s="53" t="str">
        <f t="shared" si="3"/>
        <v>Zaczep blok.bł.obsługi drewno/PVC12.2PIN</v>
      </c>
      <c r="C57" s="53">
        <f t="shared" si="1"/>
        <v>1</v>
      </c>
      <c r="D57" s="53">
        <f t="shared" si="2"/>
        <v>3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x14ac:dyDescent="0.25">
      <c r="A58" s="53">
        <f t="shared" si="3"/>
        <v>806824</v>
      </c>
      <c r="B58" s="53" t="str">
        <f t="shared" si="3"/>
        <v>Zaczep p-wyw drewno/PVC Schemat C 15,7 P</v>
      </c>
      <c r="C58" s="53">
        <f t="shared" si="1"/>
        <v>3</v>
      </c>
      <c r="D58" s="53">
        <f t="shared" si="2"/>
        <v>9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x14ac:dyDescent="0.25">
      <c r="A59" s="53">
        <f t="shared" ref="A59:B66" si="4">A115</f>
        <v>635307</v>
      </c>
      <c r="B59" s="53" t="str">
        <f t="shared" si="4"/>
        <v>Zderzak 14 PIN</v>
      </c>
      <c r="C59" s="53">
        <f>E115</f>
        <v>2</v>
      </c>
      <c r="D59" s="53">
        <f t="shared" si="2"/>
        <v>6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 x14ac:dyDescent="0.25">
      <c r="A60" s="53">
        <f t="shared" si="4"/>
        <v>798249</v>
      </c>
      <c r="B60" s="53" t="str">
        <f t="shared" si="4"/>
        <v>Odbojnik gumowy 21X11.5 RAL 9005 Holz</v>
      </c>
      <c r="C60" s="53">
        <f>E116</f>
        <v>4</v>
      </c>
      <c r="D60" s="53">
        <f t="shared" si="2"/>
        <v>12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25">
      <c r="A61" s="53">
        <f t="shared" si="4"/>
        <v>798979</v>
      </c>
      <c r="B61" s="53" t="str">
        <f t="shared" si="4"/>
        <v>Osłona MB R06.2 PIN</v>
      </c>
      <c r="C61" s="53">
        <f>C266*2</f>
        <v>6</v>
      </c>
      <c r="D61" s="53">
        <f t="shared" si="2"/>
        <v>18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5">
      <c r="A62" s="53">
        <f t="shared" si="4"/>
        <v>780551</v>
      </c>
      <c r="B62" s="53" t="str">
        <f t="shared" si="4"/>
        <v>Klamka R-line 43mm 200 R01.1 ALV</v>
      </c>
      <c r="C62" s="53">
        <f>E118</f>
        <v>1</v>
      </c>
      <c r="D62" s="53">
        <f t="shared" si="2"/>
        <v>3</v>
      </c>
      <c r="E62" s="35" t="str">
        <f>SAP!A76</f>
        <v>Klamka skrzydło czynne: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1:21" x14ac:dyDescent="0.25">
      <c r="A63" s="53">
        <f t="shared" si="4"/>
        <v>780551</v>
      </c>
      <c r="B63" s="53" t="str">
        <f t="shared" si="4"/>
        <v>Klamka R-line 43mm 200 R01.1 ALV</v>
      </c>
      <c r="C63" s="53">
        <f>E119</f>
        <v>1</v>
      </c>
      <c r="D63" s="53">
        <f t="shared" si="2"/>
        <v>3</v>
      </c>
      <c r="E63" s="35" t="str">
        <f>SAP!A77</f>
        <v>Klamka skrzydło bierne: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spans="1:21" x14ac:dyDescent="0.25">
      <c r="A64" s="55">
        <f t="shared" si="4"/>
        <v>0</v>
      </c>
      <c r="B64" s="53" t="str">
        <f t="shared" si="4"/>
        <v>__</v>
      </c>
      <c r="C64" s="53">
        <f>E120</f>
        <v>0</v>
      </c>
      <c r="D64" s="53">
        <f t="shared" si="2"/>
        <v>0</v>
      </c>
      <c r="E64" s="35" t="str">
        <f>SAP!A117</f>
        <v>pochwyt skrzydło czynne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spans="1:21" x14ac:dyDescent="0.25">
      <c r="A65" s="65">
        <f t="shared" si="4"/>
        <v>0</v>
      </c>
      <c r="B65" s="53" t="str">
        <f t="shared" si="4"/>
        <v>__</v>
      </c>
      <c r="C65" s="53">
        <f>E121</f>
        <v>0</v>
      </c>
      <c r="D65" s="53">
        <f t="shared" si="2"/>
        <v>0</v>
      </c>
      <c r="E65" s="35" t="str">
        <f>SAP!A118</f>
        <v>pochwyt skrzydło bierne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1" x14ac:dyDescent="0.25">
      <c r="A66" s="65">
        <f t="shared" si="4"/>
        <v>0</v>
      </c>
      <c r="B66" s="53" t="str">
        <f t="shared" si="4"/>
        <v>__</v>
      </c>
      <c r="C66" s="53">
        <f>E122</f>
        <v>0</v>
      </c>
      <c r="D66" s="53">
        <f t="shared" si="2"/>
        <v>0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x14ac:dyDescent="0.25">
      <c r="A67" s="55">
        <f t="shared" ref="A67:B70" si="5">A123</f>
        <v>782922</v>
      </c>
      <c r="B67" s="53" t="str">
        <f t="shared" si="5"/>
        <v>Prowadnica L=6,4M R01.1-1101 PIN</v>
      </c>
      <c r="C67" s="53">
        <f t="shared" ref="C67:C70" si="6">E123</f>
        <v>1</v>
      </c>
      <c r="D67" s="53">
        <f t="shared" si="2"/>
        <v>3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spans="1:21" x14ac:dyDescent="0.25">
      <c r="A68" s="53">
        <f t="shared" si="5"/>
        <v>807734</v>
      </c>
      <c r="B68" s="53" t="str">
        <f t="shared" si="5"/>
        <v>Próg AL L=6,4M R01.1-1101 PIN</v>
      </c>
      <c r="C68" s="53">
        <f t="shared" si="6"/>
        <v>1</v>
      </c>
      <c r="D68" s="53">
        <f t="shared" si="2"/>
        <v>3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x14ac:dyDescent="0.25">
      <c r="A69" s="53">
        <f t="shared" si="5"/>
        <v>473587</v>
      </c>
      <c r="B69" s="53" t="str">
        <f t="shared" si="5"/>
        <v>Uszczelka QL-3006 2,1m BRĄZ RAL8019</v>
      </c>
      <c r="C69" s="53">
        <f t="shared" si="6"/>
        <v>10</v>
      </c>
      <c r="D69" s="56">
        <f t="shared" si="2"/>
        <v>30</v>
      </c>
      <c r="E69" s="35" t="s">
        <v>93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x14ac:dyDescent="0.25">
      <c r="A70" s="53">
        <f t="shared" si="5"/>
        <v>473588</v>
      </c>
      <c r="B70" s="53" t="str">
        <f t="shared" si="5"/>
        <v>Uszczelka QL-7000 BRĄZ RAL8019</v>
      </c>
      <c r="C70" s="58">
        <f t="shared" si="6"/>
        <v>4.2320000000000002</v>
      </c>
      <c r="D70" s="58">
        <f t="shared" si="2"/>
        <v>12.696000000000002</v>
      </c>
      <c r="E70" s="35" t="s">
        <v>92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</row>
    <row r="71" spans="1:21" x14ac:dyDescent="0.25">
      <c r="A71" s="65">
        <f>A127</f>
        <v>0</v>
      </c>
      <c r="B71" s="65" t="str">
        <f>B127</f>
        <v>__</v>
      </c>
      <c r="C71" s="112">
        <f>E127</f>
        <v>0</v>
      </c>
      <c r="D71" s="112">
        <f t="shared" si="2"/>
        <v>0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spans="1:21" x14ac:dyDescent="0.25">
      <c r="C72" s="59"/>
    </row>
    <row r="73" spans="1:21" x14ac:dyDescent="0.25">
      <c r="B73" s="71" t="str">
        <f>SAP!A69</f>
        <v>Zamówienie szablonów i dokumentacji</v>
      </c>
      <c r="C73" s="59"/>
    </row>
    <row r="74" spans="1:21" x14ac:dyDescent="0.25">
      <c r="B74" s="53" t="str">
        <f>SAP!A70</f>
        <v>Certyfikat</v>
      </c>
    </row>
    <row r="75" spans="1:21" s="6" customFormat="1" hidden="1" x14ac:dyDescent="0.25">
      <c r="A75" s="5"/>
      <c r="B75" s="5"/>
      <c r="C75" s="5"/>
      <c r="D75" s="5"/>
      <c r="E75" s="5"/>
    </row>
    <row r="76" spans="1:21" s="6" customFormat="1" hidden="1" x14ac:dyDescent="0.25"/>
    <row r="77" spans="1:21" s="6" customFormat="1" hidden="1" x14ac:dyDescent="0.25">
      <c r="J77" s="6" t="s">
        <v>234</v>
      </c>
    </row>
    <row r="78" spans="1:21" s="6" customFormat="1" hidden="1" x14ac:dyDescent="0.25">
      <c r="B78" s="6" t="s">
        <v>60</v>
      </c>
      <c r="C78" s="6" t="s">
        <v>47</v>
      </c>
      <c r="D78" s="6" t="str">
        <f>SAP!A80</f>
        <v>Klamka 200mm</v>
      </c>
      <c r="F78" s="6" t="str">
        <f>SAP!A89</f>
        <v>R01.1 Naturalny srebrny</v>
      </c>
      <c r="H78" s="6" t="str">
        <f>SAP!A101</f>
        <v>brak</v>
      </c>
      <c r="J78" s="6" t="str">
        <f>SAP!A80</f>
        <v>Klamka 200mm</v>
      </c>
      <c r="N78" s="6" t="str">
        <f>SAP!A101</f>
        <v>brak</v>
      </c>
    </row>
    <row r="79" spans="1:21" s="6" customFormat="1" hidden="1" x14ac:dyDescent="0.25">
      <c r="B79" s="6" t="s">
        <v>61</v>
      </c>
      <c r="C79" s="6" t="str">
        <f>SAP!A9</f>
        <v>Drewno</v>
      </c>
      <c r="D79" s="6" t="str">
        <f>SAP!A82</f>
        <v>Klamka 200mm 100Nm</v>
      </c>
      <c r="F79" s="6" t="str">
        <f>SAP!A90</f>
        <v>R01.2 Nowy srebrny</v>
      </c>
      <c r="H79" s="6" t="str">
        <f>SAP!A102</f>
        <v>R01.1 Naturalny srebrny</v>
      </c>
      <c r="J79" s="6" t="str">
        <f>SAP!A82</f>
        <v>Klamka 200mm 100Nm</v>
      </c>
      <c r="N79" s="6" t="str">
        <f>SAP!A102</f>
        <v>R01.1 Naturalny srebrny</v>
      </c>
    </row>
    <row r="80" spans="1:21" s="6" customFormat="1" hidden="1" x14ac:dyDescent="0.25">
      <c r="B80" s="6" t="s">
        <v>62</v>
      </c>
      <c r="C80" s="6" t="s">
        <v>68</v>
      </c>
      <c r="D80" s="6" t="str">
        <f>SAP!A83</f>
        <v>Klamka 200mm obustronna</v>
      </c>
      <c r="F80" s="6" t="str">
        <f>SAP!A91</f>
        <v>R01.3 Tytan</v>
      </c>
      <c r="H80" s="6" t="str">
        <f>SAP!A103</f>
        <v>R01.3 Tytan</v>
      </c>
      <c r="J80" s="6" t="str">
        <f>SAP!A83</f>
        <v>Klamka 200mm obustronna</v>
      </c>
      <c r="N80" s="6" t="str">
        <f>SAP!A103</f>
        <v>R01.3 Tytan</v>
      </c>
    </row>
    <row r="81" spans="1:14" s="6" customFormat="1" hidden="1" x14ac:dyDescent="0.25">
      <c r="B81" s="6" t="s">
        <v>63</v>
      </c>
      <c r="D81" s="7">
        <v>1</v>
      </c>
      <c r="F81" s="6" t="str">
        <f>SAP!A92</f>
        <v>R01.5 Srebrny</v>
      </c>
      <c r="H81" s="6" t="str">
        <f>SAP!A104</f>
        <v>R05.3 Średni brąz</v>
      </c>
      <c r="J81" s="7">
        <v>1</v>
      </c>
      <c r="N81" s="6" t="str">
        <f>SAP!A104</f>
        <v>R05.3 Średni brąz</v>
      </c>
    </row>
    <row r="82" spans="1:14" s="6" customFormat="1" hidden="1" x14ac:dyDescent="0.25">
      <c r="B82" s="6" t="s">
        <v>64</v>
      </c>
      <c r="F82" s="6" t="str">
        <f>SAP!A93</f>
        <v>R02.2 Antracyt</v>
      </c>
      <c r="H82" s="6" t="str">
        <f>SAP!A105</f>
        <v>R05.5 Brązowy</v>
      </c>
      <c r="N82" s="6" t="str">
        <f>SAP!A105</f>
        <v>R05.5 Brązowy</v>
      </c>
    </row>
    <row r="83" spans="1:14" s="6" customFormat="1" hidden="1" x14ac:dyDescent="0.25">
      <c r="B83" s="6" t="s">
        <v>65</v>
      </c>
      <c r="D83" s="6" t="s">
        <v>192</v>
      </c>
      <c r="F83" s="6" t="str">
        <f>SAP!A94</f>
        <v>R05.3 Średni brąz</v>
      </c>
      <c r="H83" s="6" t="str">
        <f>SAP!A98</f>
        <v>R07.2 Biały</v>
      </c>
      <c r="J83" s="6" t="s">
        <v>192</v>
      </c>
      <c r="N83" s="6" t="str">
        <f>SAP!A106</f>
        <v>R07.2 Biały</v>
      </c>
    </row>
    <row r="84" spans="1:14" s="6" customFormat="1" hidden="1" x14ac:dyDescent="0.25">
      <c r="D84" s="6" t="s">
        <v>193</v>
      </c>
      <c r="F84" s="6" t="str">
        <f>SAP!A95</f>
        <v>R05.4 Ciemny brąz</v>
      </c>
      <c r="H84" s="6" t="str">
        <f>SAP!A107</f>
        <v>R06.2 Czarny (pochwyt IS)</v>
      </c>
      <c r="J84" s="6" t="s">
        <v>193</v>
      </c>
      <c r="N84" s="6" t="str">
        <f>SAP!A107</f>
        <v>R06.2 Czarny (pochwyt IS)</v>
      </c>
    </row>
    <row r="85" spans="1:14" s="6" customFormat="1" hidden="1" x14ac:dyDescent="0.25">
      <c r="D85" s="6" t="s">
        <v>194</v>
      </c>
      <c r="F85" s="6" t="str">
        <f>SAP!A96</f>
        <v>R05.5 Brązowy</v>
      </c>
      <c r="H85" s="7">
        <v>1</v>
      </c>
      <c r="J85" s="6" t="s">
        <v>194</v>
      </c>
      <c r="N85" s="7">
        <v>1</v>
      </c>
    </row>
    <row r="86" spans="1:14" s="6" customFormat="1" hidden="1" x14ac:dyDescent="0.25">
      <c r="D86" s="6" t="str">
        <f>SAP!A87</f>
        <v>100mm dwustronna</v>
      </c>
      <c r="F86" s="6" t="str">
        <f>SAP!A97</f>
        <v>R06.2M Czarny Mat</v>
      </c>
      <c r="J86" s="6" t="str">
        <f>SAP!A87</f>
        <v>100mm dwustronna</v>
      </c>
    </row>
    <row r="87" spans="1:14" s="6" customFormat="1" hidden="1" x14ac:dyDescent="0.25">
      <c r="D87" s="6" t="str">
        <f>SAP!A88</f>
        <v>135mm dwustronna</v>
      </c>
      <c r="F87" s="6" t="str">
        <f>SAP!A98</f>
        <v>R07.2 Biały</v>
      </c>
      <c r="J87" s="6" t="str">
        <f>SAP!A88</f>
        <v>135mm dwustronna</v>
      </c>
    </row>
    <row r="88" spans="1:14" s="6" customFormat="1" hidden="1" x14ac:dyDescent="0.25">
      <c r="D88" s="8">
        <v>3</v>
      </c>
      <c r="F88" s="6" t="str">
        <f>SAP!A99</f>
        <v>R07.3 Kremowy</v>
      </c>
      <c r="J88" s="8">
        <v>3</v>
      </c>
      <c r="L88" s="7"/>
    </row>
    <row r="89" spans="1:14" s="6" customFormat="1" hidden="1" x14ac:dyDescent="0.25">
      <c r="B89" s="6" t="s">
        <v>66</v>
      </c>
      <c r="F89" s="7">
        <v>1</v>
      </c>
    </row>
    <row r="90" spans="1:14" s="6" customFormat="1" hidden="1" x14ac:dyDescent="0.25">
      <c r="B90" s="9">
        <v>2</v>
      </c>
      <c r="C90" s="6" t="s">
        <v>3</v>
      </c>
      <c r="D90" s="6" t="s">
        <v>0</v>
      </c>
    </row>
    <row r="91" spans="1:14" s="6" customFormat="1" ht="23.25" hidden="1" x14ac:dyDescent="0.35">
      <c r="C91" s="10">
        <f>IF(B90=1,C13-163,IF(B90=3,C13-177,IF(B90=2,C13-134)))</f>
        <v>2116</v>
      </c>
      <c r="D91" s="10">
        <f>IF(B90=1,C12/4-15-60,IF(B90=3,C12/4-67,IF(B90=2,C12/4-54)))</f>
        <v>1196</v>
      </c>
      <c r="E91" s="6" t="s">
        <v>27</v>
      </c>
      <c r="F91" s="6" t="s">
        <v>75</v>
      </c>
    </row>
    <row r="92" spans="1:14" s="6" customFormat="1" hidden="1" x14ac:dyDescent="0.25">
      <c r="C92" s="6" t="s">
        <v>3</v>
      </c>
      <c r="D92" s="6" t="s">
        <v>0</v>
      </c>
      <c r="E92" s="11">
        <f>C18</f>
        <v>3</v>
      </c>
    </row>
    <row r="93" spans="1:14" s="6" customFormat="1" hidden="1" x14ac:dyDescent="0.25">
      <c r="C93" s="11">
        <f>C91</f>
        <v>2116</v>
      </c>
      <c r="D93" s="11">
        <f>D91</f>
        <v>1196</v>
      </c>
      <c r="F93" s="11" t="str">
        <f>IF(C93/D93&lt;=2,SAP!A43,IF(C93/D93&gt;2,SAP!A44))</f>
        <v>prawidłowe</v>
      </c>
    </row>
    <row r="94" spans="1:14" s="6" customFormat="1" hidden="1" x14ac:dyDescent="0.25"/>
    <row r="95" spans="1:14" s="6" customFormat="1" hidden="1" x14ac:dyDescent="0.25">
      <c r="A95" s="12">
        <f>IF(B90=1,"!",IF(B90=2,Q194,IF(B90=3,"!")))</f>
        <v>785927</v>
      </c>
      <c r="B95" s="6" t="str">
        <f>IF(SAP!$A$7=1,VLOOKUP(A95,SAP!$1:$1048576,2,FALSE),IF(SAP!$A$7=2,VLOOKUP(A95,SAP!$1:$1048576,5,FALSE),IF(SAP!$A$7=3,VLOOKUP(A95,SAP!$1:$1048576,6,FALSE),IF(SAP!$A$7=4,VLOOKUP(A95,SAP!$1:$1048576,7,FALSE)))))</f>
        <v>Zasuwn. KSR 1890/1000 2V D50 PIN</v>
      </c>
      <c r="C95" s="6">
        <f>F191</f>
        <v>1</v>
      </c>
      <c r="E95" s="6">
        <f>IF(A95="!",0,IF(A95&lt;&gt;"!",C95))</f>
        <v>1</v>
      </c>
    </row>
    <row r="96" spans="1:14" s="6" customFormat="1" hidden="1" x14ac:dyDescent="0.25">
      <c r="A96" s="12">
        <f>IF(B90=1,0,IF(B90=2,R194,IF(B90=3,0)))</f>
        <v>785927</v>
      </c>
      <c r="B96" s="6" t="str">
        <f>IF(SAP!$A$7=1,VLOOKUP(A96,SAP!$1:$1048576,2,FALSE),IF(SAP!$A$7=2,VLOOKUP(A96,SAP!$1:$1048576,5,FALSE),IF(SAP!$A$7=3,VLOOKUP(A96,SAP!$1:$1048576,6,FALSE),IF(SAP!$A$7=4,VLOOKUP(A96,SAP!$1:$1048576,7,FALSE)))))</f>
        <v>Zasuwn. KSR 1890/1000 2V D50 PIN</v>
      </c>
      <c r="C96" s="6">
        <v>1</v>
      </c>
      <c r="E96" s="6">
        <f>IF(A96=0,0,IF(A96&lt;&gt;0,C96))</f>
        <v>1</v>
      </c>
    </row>
    <row r="97" spans="1:6" s="6" customFormat="1" hidden="1" x14ac:dyDescent="0.25">
      <c r="A97" s="6">
        <f>IF(B90=1,0,IF(B90=3,0,IF(B90=2,G229)))</f>
        <v>308267</v>
      </c>
      <c r="B97" s="6" t="str">
        <f>IF(SAP!$A$7=1,VLOOKUP(A97,SAP!$1:$1048576,2,FALSE),IF(SAP!$A$7=2,VLOOKUP(A97,SAP!$1:$1048576,5,FALSE),IF(SAP!$A$7=3,VLOOKUP(A97,SAP!$1:$1048576,6,FALSE),IF(SAP!$A$7=4,VLOOKUP(A97,SAP!$1:$1048576,7,FALSE)))))</f>
        <v>Zamkn. środ. 200 łącz NTi</v>
      </c>
      <c r="C97" s="6">
        <f>F229*2</f>
        <v>2</v>
      </c>
      <c r="E97" s="6">
        <f>IF(A97=0,0,IF(A97&lt;&gt;0,C97))</f>
        <v>2</v>
      </c>
    </row>
    <row r="98" spans="1:6" s="6" customFormat="1" hidden="1" x14ac:dyDescent="0.25">
      <c r="A98" s="6">
        <f>IF(B90=1,0,IF(B90=3,0,IF(B90=2,G238)))</f>
        <v>603444</v>
      </c>
      <c r="B98" s="6" t="str">
        <f>IF(SAP!$A$7=1,VLOOKUP(A98,SAP!$1:$1048576,2,FALSE),IF(SAP!$A$7=2,VLOOKUP(A98,SAP!$1:$1048576,5,FALSE),IF(SAP!$A$7=3,VLOOKUP(A98,SAP!$1:$1048576,6,FALSE),IF(SAP!$A$7=4,VLOOKUP(A98,SAP!$1:$1048576,7,FALSE)))))</f>
        <v>Zamk. środkowe góra 801-1000 NT ALV</v>
      </c>
      <c r="C98" s="6">
        <f>F238*4</f>
        <v>4</v>
      </c>
      <c r="E98" s="6">
        <f>IF(A98=0,0,IF(A98&lt;&gt;0,C98))</f>
        <v>4</v>
      </c>
      <c r="F98" s="35" t="str">
        <f>IF(A98=0,SAP!A71,IF(A98&lt;&gt;0,""))</f>
        <v/>
      </c>
    </row>
    <row r="99" spans="1:6" s="6" customFormat="1" hidden="1" x14ac:dyDescent="0.25">
      <c r="A99" s="6">
        <f>IF(B90=1,0,IF(B90=3,0,IF(B90=2,G246)))</f>
        <v>255281</v>
      </c>
      <c r="B99" s="6" t="str">
        <f>IF(SAP!$A$7=1,VLOOKUP(A99,SAP!$1:$1048576,2,FALSE),IF(SAP!$A$7=2,VLOOKUP(A99,SAP!$1:$1048576,5,FALSE),IF(SAP!$A$7=3,VLOOKUP(A99,SAP!$1:$1048576,6,FALSE),IF(SAP!$A$7=4,VLOOKUP(A99,SAP!$1:$1048576,7,FALSE)))))</f>
        <v>Zamkn. środkowe 1E NT MV600</v>
      </c>
      <c r="C99" s="6">
        <f>F246*2</f>
        <v>2</v>
      </c>
      <c r="E99" s="6">
        <f t="shared" ref="E99:E126" si="7">IF(A99=0,0,IF(A99&lt;&gt;0,C99))</f>
        <v>2</v>
      </c>
    </row>
    <row r="100" spans="1:6" s="6" customFormat="1" hidden="1" x14ac:dyDescent="0.25">
      <c r="A100" s="6">
        <f>IF(B90=1,0,IF(B90=3,0,IF(B90=2,M246)))</f>
        <v>297858</v>
      </c>
      <c r="B100" s="6" t="str">
        <f>IF(SAP!$A$7=1,VLOOKUP(A100,SAP!$1:$1048576,2,FALSE),IF(SAP!$A$7=2,VLOOKUP(A100,SAP!$1:$1048576,5,FALSE),IF(SAP!$A$7=3,VLOOKUP(A100,SAP!$1:$1048576,6,FALSE),IF(SAP!$A$7=4,VLOOKUP(A100,SAP!$1:$1048576,7,FALSE)))))</f>
        <v>Przedłużka zasuwn. NT MV400 bez zaczepu</v>
      </c>
      <c r="C100" s="6">
        <f>L246*2</f>
        <v>2</v>
      </c>
      <c r="E100" s="6">
        <f t="shared" si="7"/>
        <v>2</v>
      </c>
    </row>
    <row r="101" spans="1:6" s="6" customFormat="1" hidden="1" x14ac:dyDescent="0.25">
      <c r="A101" s="6">
        <f>IF(B90=1,0,IF(B90=3,0,IF(B90=2,S246)))</f>
        <v>0</v>
      </c>
      <c r="B101" s="6" t="str">
        <f>IF(SAP!$A$7=1,VLOOKUP(A101,SAP!$1:$1048576,2,FALSE),IF(SAP!$A$7=2,VLOOKUP(A101,SAP!$1:$1048576,5,FALSE),IF(SAP!$A$7=3,VLOOKUP(A101,SAP!$1:$1048576,6,FALSE),IF(SAP!$A$7=4,VLOOKUP(A101,SAP!$1:$1048576,7,FALSE)))))</f>
        <v>__</v>
      </c>
      <c r="C101" s="6">
        <f>R246*2</f>
        <v>0</v>
      </c>
      <c r="E101" s="6">
        <f t="shared" si="7"/>
        <v>0</v>
      </c>
    </row>
    <row r="102" spans="1:6" s="6" customFormat="1" hidden="1" x14ac:dyDescent="0.25">
      <c r="A102" s="6">
        <f>IF(B90=1,0,IF(B90=3,0,IF(B90=2,A248)))</f>
        <v>260272</v>
      </c>
      <c r="B102" s="6" t="str">
        <f>IF(SAP!$A$7=1,VLOOKUP(A102,SAP!$1:$1048576,2,FALSE),IF(SAP!$A$7=2,VLOOKUP(A102,SAP!$1:$1048576,5,FALSE),IF(SAP!$A$7=3,VLOOKUP(A102,SAP!$1:$1048576,6,FALSE),IF(SAP!$A$7=4,VLOOKUP(A102,SAP!$1:$1048576,7,FALSE)))))</f>
        <v>Narożnik Ku/r NT/1V</v>
      </c>
      <c r="C102" s="6">
        <f>C248*2</f>
        <v>4</v>
      </c>
      <c r="E102" s="6">
        <f t="shared" si="7"/>
        <v>4</v>
      </c>
    </row>
    <row r="103" spans="1:6" s="6" customFormat="1" hidden="1" x14ac:dyDescent="0.25">
      <c r="A103" s="6">
        <f>IF(B90=1,0,IF(B90=3,0,IF(B90=2,A249)))</f>
        <v>260275</v>
      </c>
      <c r="B103" s="6" t="str">
        <f>IF(SAP!$A$7=1,VLOOKUP(A103,SAP!$1:$1048576,2,FALSE),IF(SAP!$A$7=2,VLOOKUP(A103,SAP!$1:$1048576,5,FALSE),IF(SAP!$A$7=3,VLOOKUP(A103,SAP!$1:$1048576,6,FALSE),IF(SAP!$A$7=4,VLOOKUP(A103,SAP!$1:$1048576,7,FALSE)))))</f>
        <v>Narożnik NT/1E</v>
      </c>
      <c r="C103" s="6">
        <f>C249*2</f>
        <v>4</v>
      </c>
      <c r="E103" s="6">
        <f t="shared" si="7"/>
        <v>4</v>
      </c>
    </row>
    <row r="104" spans="1:6" s="6" customFormat="1" hidden="1" x14ac:dyDescent="0.25">
      <c r="A104" s="6">
        <f>IF(B90=1,0,IF(B90=2,A258,IF(B90=3,0)))</f>
        <v>797726</v>
      </c>
      <c r="B104" s="6" t="str">
        <f>IF(SAP!$A$7=1,VLOOKUP(A104,SAP!$1:$1048576,2,FALSE),IF(SAP!$A$7=2,VLOOKUP(A104,SAP!$1:$1048576,5,FALSE),IF(SAP!$A$7=3,VLOOKUP(A104,SAP!$1:$1048576,6,FALSE),IF(SAP!$A$7=4,VLOOKUP(A104,SAP!$1:$1048576,7,FALSE)))))</f>
        <v xml:space="preserve">Wózek DR 8 41 L PIN </v>
      </c>
      <c r="C104" s="6">
        <f>SUM(2,IF(D93&gt;=1061,1))</f>
        <v>3</v>
      </c>
      <c r="E104" s="6">
        <f t="shared" si="7"/>
        <v>3</v>
      </c>
    </row>
    <row r="105" spans="1:6" s="6" customFormat="1" hidden="1" x14ac:dyDescent="0.25">
      <c r="A105" s="6">
        <f>IF(B90=1,0,IF(B90=2,A259,IF(B90=3,0)))</f>
        <v>797727</v>
      </c>
      <c r="B105" s="6" t="str">
        <f>IF(SAP!$A$7=1,VLOOKUP(A105,SAP!$1:$1048576,2,FALSE),IF(SAP!$A$7=2,VLOOKUP(A105,SAP!$1:$1048576,5,FALSE),IF(SAP!$A$7=3,VLOOKUP(A105,SAP!$1:$1048576,6,FALSE),IF(SAP!$A$7=4,VLOOKUP(A105,SAP!$1:$1048576,7,FALSE)))))</f>
        <v xml:space="preserve">Wózek DR 8 41 R PIN </v>
      </c>
      <c r="C105" s="6">
        <f>SUM(2,IF(D93&gt;=1061,1))</f>
        <v>3</v>
      </c>
      <c r="E105" s="6">
        <f t="shared" si="7"/>
        <v>3</v>
      </c>
    </row>
    <row r="106" spans="1:6" s="6" customFormat="1" hidden="1" x14ac:dyDescent="0.25">
      <c r="A106" s="6">
        <f>IF(B90=1,0,IF(B90=2,A263,IF(B90=3,0)))</f>
        <v>797728</v>
      </c>
      <c r="B106" s="6" t="str">
        <f>IF(SAP!$A$7=1,VLOOKUP(A106,SAP!$1:$1048576,2,FALSE),IF(SAP!$A$7=2,VLOOKUP(A106,SAP!$1:$1048576,5,FALSE),IF(SAP!$A$7=3,VLOOKUP(A106,SAP!$1:$1048576,6,FALSE),IF(SAP!$A$7=4,VLOOKUP(A106,SAP!$1:$1048576,7,FALSE)))))</f>
        <v>Jednostka ster. DR 8 41 L PIN</v>
      </c>
      <c r="C106" s="6">
        <f>SUM(2,IF(D93&gt;=1061,1))</f>
        <v>3</v>
      </c>
      <c r="E106" s="6">
        <f t="shared" si="7"/>
        <v>3</v>
      </c>
    </row>
    <row r="107" spans="1:6" s="6" customFormat="1" hidden="1" x14ac:dyDescent="0.25">
      <c r="A107" s="6">
        <f>IF(B90=1,0,IF(B90=2,A264,IF(B90=3,0)))</f>
        <v>797729</v>
      </c>
      <c r="B107" s="6" t="str">
        <f>IF(SAP!$A$7=1,VLOOKUP(A107,SAP!$1:$1048576,2,FALSE),IF(SAP!$A$7=2,VLOOKUP(A107,SAP!$1:$1048576,5,FALSE),IF(SAP!$A$7=3,VLOOKUP(A107,SAP!$1:$1048576,6,FALSE),IF(SAP!$A$7=4,VLOOKUP(A107,SAP!$1:$1048576,7,FALSE)))))</f>
        <v>Jednostka ster. DR 8 41 R PIN</v>
      </c>
      <c r="C107" s="6">
        <f>SUM(2,IF(D93&gt;=1061,1))</f>
        <v>3</v>
      </c>
      <c r="E107" s="6">
        <f t="shared" si="7"/>
        <v>3</v>
      </c>
    </row>
    <row r="108" spans="1:6" s="6" customFormat="1" hidden="1" x14ac:dyDescent="0.25">
      <c r="A108" s="6">
        <f>IF(B90=1,0,IF(B90=2,A268,IF(B90=3,0)))</f>
        <v>797730</v>
      </c>
      <c r="B108" s="6" t="str">
        <f>IF(SAP!$A$7=1,VLOOKUP(A108,SAP!$1:$1048576,2,FALSE),IF(SAP!$A$7=2,VLOOKUP(A108,SAP!$1:$1048576,5,FALSE),IF(SAP!$A$7=3,VLOOKUP(A108,SAP!$1:$1048576,6,FALSE),IF(SAP!$A$7=4,VLOOKUP(A108,SAP!$1:$1048576,7,FALSE)))))</f>
        <v>Docisk środkowy DR 8 41 L PIN</v>
      </c>
      <c r="C108" s="6">
        <f>C266</f>
        <v>3</v>
      </c>
      <c r="E108" s="6">
        <f t="shared" si="7"/>
        <v>3</v>
      </c>
    </row>
    <row r="109" spans="1:6" s="6" customFormat="1" hidden="1" x14ac:dyDescent="0.25">
      <c r="A109" s="6">
        <f>IF(B90=1,0,IF(B90=2,A269,IF(B90=3,0)))</f>
        <v>797732</v>
      </c>
      <c r="B109" s="6" t="str">
        <f>IF(SAP!$A$7=1,VLOOKUP(A109,SAP!$1:$1048576,2,FALSE),IF(SAP!$A$7=2,VLOOKUP(A109,SAP!$1:$1048576,5,FALSE),IF(SAP!$A$7=3,VLOOKUP(A109,SAP!$1:$1048576,6,FALSE),IF(SAP!$A$7=4,VLOOKUP(A109,SAP!$1:$1048576,7,FALSE)))))</f>
        <v>Docisk środkowy DR 8 41 R PIN</v>
      </c>
      <c r="C109" s="6">
        <f>C266</f>
        <v>3</v>
      </c>
      <c r="E109" s="6">
        <f t="shared" si="7"/>
        <v>3</v>
      </c>
    </row>
    <row r="110" spans="1:6" s="6" customFormat="1" hidden="1" x14ac:dyDescent="0.25">
      <c r="A110" s="6">
        <f>IF(B90=1,0,IF(B90=3,0,IF(B90=2,A271)))</f>
        <v>764350</v>
      </c>
      <c r="B110" s="6" t="str">
        <f>IF(SAP!$A$7=1,VLOOKUP(A110,SAP!$1:$1048576,2,FALSE),IF(SAP!$A$7=2,VLOOKUP(A110,SAP!$1:$1048576,5,FALSE),IF(SAP!$A$7=3,VLOOKUP(A110,SAP!$1:$1048576,6,FALSE),IF(SAP!$A$7=4,VLOOKUP(A110,SAP!$1:$1048576,7,FALSE)))))</f>
        <v>Zamkn. środkowe 1E NTN MV130 łączone</v>
      </c>
      <c r="C110" s="6">
        <f>C271*2</f>
        <v>12</v>
      </c>
      <c r="E110" s="6">
        <f t="shared" si="7"/>
        <v>12</v>
      </c>
    </row>
    <row r="111" spans="1:6" s="6" customFormat="1" hidden="1" x14ac:dyDescent="0.25">
      <c r="A111" s="6">
        <f>IF(B90=1,0,IF(B90=2,A273,IF(B90=3,0)))</f>
        <v>771375</v>
      </c>
      <c r="B111" s="6" t="str">
        <f>IF(SAP!$A$7=1,VLOOKUP(A111,SAP!$1:$1048576,2,FALSE),IF(SAP!$A$7=2,VLOOKUP(A111,SAP!$1:$1048576,5,FALSE),IF(SAP!$A$7=3,VLOOKUP(A111,SAP!$1:$1048576,6,FALSE),IF(SAP!$A$7=4,VLOOKUP(A111,SAP!$1:$1048576,7,FALSE)))))</f>
        <v>Trzpień docisku środkowego 34.4 PIN Holz</v>
      </c>
      <c r="C111" s="6">
        <f>C273*2</f>
        <v>6</v>
      </c>
      <c r="E111" s="6">
        <f t="shared" si="7"/>
        <v>6</v>
      </c>
    </row>
    <row r="112" spans="1:6" s="6" customFormat="1" hidden="1" x14ac:dyDescent="0.25">
      <c r="A112" s="6">
        <f>IF(B90=1,0,IF(B90=2,A279,IF(B90=3,0)))</f>
        <v>798223</v>
      </c>
      <c r="B112" s="6" t="str">
        <f>IF(SAP!$A$7=1,VLOOKUP(A112,SAP!$1:$1048576,2,FALSE),IF(SAP!$A$7=2,VLOOKUP(A112,SAP!$1:$1048576,5,FALSE),IF(SAP!$A$7=3,VLOOKUP(A112,SAP!$1:$1048576,6,FALSE),IF(SAP!$A$7=4,VLOOKUP(A112,SAP!$1:$1048576,7,FALSE)))))</f>
        <v>Zaczep docisku MV-SEB Holz</v>
      </c>
      <c r="C112" s="6">
        <f>C278*2</f>
        <v>6</v>
      </c>
      <c r="E112" s="6">
        <f t="shared" si="7"/>
        <v>6</v>
      </c>
    </row>
    <row r="113" spans="1:7" s="6" customFormat="1" hidden="1" x14ac:dyDescent="0.25">
      <c r="A113" s="6">
        <f>IF(B90=1,0,IF(B90=2,D113,IF(B90=3,0)))</f>
        <v>788175</v>
      </c>
      <c r="B113" s="6" t="str">
        <f>IF(SAP!$A$7=1,VLOOKUP(A113,SAP!$1:$1048576,2,FALSE),IF(SAP!$A$7=2,VLOOKUP(A113,SAP!$1:$1048576,5,FALSE),IF(SAP!$A$7=3,VLOOKUP(A113,SAP!$1:$1048576,6,FALSE),IF(SAP!$A$7=4,VLOOKUP(A113,SAP!$1:$1048576,7,FALSE)))))</f>
        <v>Zaczep blok.bł.obsługi drewno/PVC12.2PIN</v>
      </c>
      <c r="C113" s="6">
        <f>C281</f>
        <v>1</v>
      </c>
      <c r="D113" s="6">
        <f>IF(C93&gt;1001,A282,IF(C93&lt;=1000,0))</f>
        <v>788175</v>
      </c>
      <c r="E113" s="6">
        <f t="shared" si="7"/>
        <v>1</v>
      </c>
    </row>
    <row r="114" spans="1:7" s="6" customFormat="1" hidden="1" x14ac:dyDescent="0.25">
      <c r="A114" s="6">
        <f>IF(B90=1,0,IF(B90=2,A286,IF(B90=3,0)))</f>
        <v>806824</v>
      </c>
      <c r="B114" s="6" t="str">
        <f>IF(SAP!$A$7=1,VLOOKUP(A114,SAP!$1:$1048576,2,FALSE),IF(SAP!$A$7=2,VLOOKUP(A114,SAP!$1:$1048576,5,FALSE),IF(SAP!$A$7=3,VLOOKUP(A114,SAP!$1:$1048576,6,FALSE),IF(SAP!$A$7=4,VLOOKUP(A114,SAP!$1:$1048576,7,FALSE)))))</f>
        <v>Zaczep p-wyw drewno/PVC Schemat C 15,7 P</v>
      </c>
      <c r="C114" s="6">
        <f>E192</f>
        <v>3</v>
      </c>
      <c r="E114" s="6">
        <f t="shared" si="7"/>
        <v>3</v>
      </c>
    </row>
    <row r="115" spans="1:7" s="6" customFormat="1" hidden="1" x14ac:dyDescent="0.25">
      <c r="A115" s="6">
        <f>IF(B90=1,0,IF(B90=2,A290,IF(B90=3,0)))</f>
        <v>635307</v>
      </c>
      <c r="B115" s="6" t="str">
        <f>IF(SAP!$A$7=1,VLOOKUP(A115,SAP!$1:$1048576,2,FALSE),IF(SAP!$A$7=2,VLOOKUP(A115,SAP!$1:$1048576,5,FALSE),IF(SAP!$A$7=3,VLOOKUP(A115,SAP!$1:$1048576,6,FALSE),IF(SAP!$A$7=4,VLOOKUP(A115,SAP!$1:$1048576,7,FALSE)))))</f>
        <v>Zderzak 14 PIN</v>
      </c>
      <c r="C115" s="6">
        <f>2</f>
        <v>2</v>
      </c>
      <c r="E115" s="6">
        <f t="shared" si="7"/>
        <v>2</v>
      </c>
    </row>
    <row r="116" spans="1:7" s="6" customFormat="1" hidden="1" x14ac:dyDescent="0.25">
      <c r="A116" s="6">
        <f>IF(B90=1,0,IF(B90=2,A293,IF(B90=3,0)))</f>
        <v>798249</v>
      </c>
      <c r="B116" s="6" t="str">
        <f>IF(SAP!$A$7=1,VLOOKUP(A116,SAP!$1:$1048576,2,FALSE),IF(SAP!$A$7=2,VLOOKUP(A116,SAP!$1:$1048576,5,FALSE),IF(SAP!$A$7=3,VLOOKUP(A116,SAP!$1:$1048576,6,FALSE),IF(SAP!$A$7=4,VLOOKUP(A116,SAP!$1:$1048576,7,FALSE)))))</f>
        <v>Odbojnik gumowy 21X11.5 RAL 9005 Holz</v>
      </c>
      <c r="C116" s="6">
        <f>2*2</f>
        <v>4</v>
      </c>
      <c r="E116" s="6">
        <f t="shared" si="7"/>
        <v>4</v>
      </c>
    </row>
    <row r="117" spans="1:7" s="6" customFormat="1" hidden="1" x14ac:dyDescent="0.25">
      <c r="A117" s="6">
        <f>IF(B90=1,0,IF(B90=2,D117,IF(B90=3,0)))</f>
        <v>798979</v>
      </c>
      <c r="B117" s="6" t="str">
        <f>IF(SAP!$A$7=1,VLOOKUP(A117,SAP!$1:$1048576,2,FALSE),IF(SAP!$A$7=2,VLOOKUP(A117,SAP!$1:$1048576,5,FALSE),IF(SAP!$A$7=3,VLOOKUP(A117,SAP!$1:$1048576,6,FALSE),IF(SAP!$A$7=4,VLOOKUP(A117,SAP!$1:$1048576,7,FALSE)))))</f>
        <v>Osłona MB R06.2 PIN</v>
      </c>
      <c r="C117" s="6">
        <f>R248*2</f>
        <v>6</v>
      </c>
      <c r="D117" s="6">
        <f>IF(E295=1,A295,IF(E295=2,A296,IF(E295=3,A297,IF(E295=4,A298))))</f>
        <v>798979</v>
      </c>
      <c r="E117" s="6">
        <f t="shared" si="7"/>
        <v>6</v>
      </c>
    </row>
    <row r="118" spans="1:7" s="6" customFormat="1" hidden="1" x14ac:dyDescent="0.25">
      <c r="A118" s="6">
        <f>IF(B90=1,0,IF(B90=2,D118,IF(B90=3,0)))</f>
        <v>780551</v>
      </c>
      <c r="B118" s="6" t="str">
        <f>IF(SAP!$A$7=1,VLOOKUP(A118,SAP!$1:$1048576,2,FALSE),IF(SAP!$A$7=2,VLOOKUP(A118,SAP!$1:$1048576,5,FALSE),IF(SAP!$A$7=3,VLOOKUP(A118,SAP!$1:$1048576,6,FALSE),IF(SAP!$A$7=4,VLOOKUP(A118,SAP!$1:$1048576,7,FALSE)))))</f>
        <v>Klamka R-line 43mm 200 R01.1 ALV</v>
      </c>
      <c r="C118" s="6">
        <f>1</f>
        <v>1</v>
      </c>
      <c r="D118" s="6">
        <f>IF(G394&lt;&gt;0,G394,IF(G394=0,"niemożliwe"))</f>
        <v>780551</v>
      </c>
      <c r="E118" s="6">
        <f t="shared" si="7"/>
        <v>1</v>
      </c>
    </row>
    <row r="119" spans="1:7" s="6" customFormat="1" hidden="1" x14ac:dyDescent="0.25">
      <c r="A119" s="6">
        <f>IF(B90=1,0,IF(B90=2,D119,IF(B90=3,0)))</f>
        <v>780551</v>
      </c>
      <c r="B119" s="6" t="str">
        <f>IF(SAP!$A$7=1,VLOOKUP(A119,SAP!$1:$1048576,2,FALSE),IF(SAP!$A$7=2,VLOOKUP(A119,SAP!$1:$1048576,5,FALSE),IF(SAP!$A$7=3,VLOOKUP(A119,SAP!$1:$1048576,6,FALSE),IF(SAP!$A$7=4,VLOOKUP(A119,SAP!$1:$1048576,7,FALSE)))))</f>
        <v>Klamka R-line 43mm 200 R01.1 ALV</v>
      </c>
      <c r="C119" s="6">
        <f>1</f>
        <v>1</v>
      </c>
      <c r="D119" s="6">
        <f>IF(L376&lt;&gt;0,L376,IF(L376=0,"niemożliwe"))</f>
        <v>780551</v>
      </c>
      <c r="E119" s="6">
        <f>IF(A119=0,0,IF(A119&lt;&gt;0,C119))</f>
        <v>1</v>
      </c>
    </row>
    <row r="120" spans="1:7" s="6" customFormat="1" hidden="1" x14ac:dyDescent="0.25">
      <c r="A120" s="12">
        <f>IF(B90=1,0,IF(B90=2,D425,IF(B90=3,0)))</f>
        <v>0</v>
      </c>
      <c r="B120" s="6" t="str">
        <f>IF(SAP!$A$7=1,VLOOKUP(A120,SAP!$1:$1048576,2,FALSE),IF(SAP!$A$7=2,VLOOKUP(A120,SAP!$1:$1048576,5,FALSE),IF(SAP!$A$7=3,VLOOKUP(A120,SAP!$1:$1048576,6,FALSE),IF(SAP!$A$7=4,VLOOKUP(A120,SAP!$1:$1048576,7,FALSE)))))</f>
        <v>__</v>
      </c>
      <c r="C120" s="13">
        <f>IF(A120=0,0,IF(A120&lt;&gt;0,1))</f>
        <v>0</v>
      </c>
      <c r="E120" s="6">
        <f>IF(A120=0,0,IF(A120&lt;&gt;0,C120))</f>
        <v>0</v>
      </c>
      <c r="G120" s="6">
        <f>IF(A120&lt;&gt;0,1,IF(A120=0,0))</f>
        <v>0</v>
      </c>
    </row>
    <row r="121" spans="1:7" s="6" customFormat="1" hidden="1" x14ac:dyDescent="0.25">
      <c r="A121" s="6">
        <f>IF(B90=1,0,IF(B90=2,D426,IF(B90=3,0)))</f>
        <v>0</v>
      </c>
      <c r="B121" s="6" t="str">
        <f>IF(SAP!$A$7=1,VLOOKUP(A121,SAP!$1:$1048576,2,FALSE),IF(SAP!$A$7=2,VLOOKUP(A121,SAP!$1:$1048576,5,FALSE),IF(SAP!$A$7=3,VLOOKUP(A121,SAP!$1:$1048576,6,FALSE),IF(SAP!$A$7=4,VLOOKUP(A121,SAP!$1:$1048576,7,FALSE)))))</f>
        <v>__</v>
      </c>
      <c r="C121" s="13">
        <f>IF(A121=0,0,IF(A121&lt;&gt;0,1))</f>
        <v>0</v>
      </c>
      <c r="E121" s="6">
        <f>IF(A121=0,0,IF(A121&lt;&gt;0,C121))</f>
        <v>0</v>
      </c>
      <c r="G121" s="6">
        <f>IF(A121&lt;&gt;0,1,IF(A121=0,0))</f>
        <v>0</v>
      </c>
    </row>
    <row r="122" spans="1:7" s="6" customFormat="1" hidden="1" x14ac:dyDescent="0.25">
      <c r="A122" s="6">
        <f>IF(G122&lt;&gt;0,A410,IF(G122=0,0))</f>
        <v>0</v>
      </c>
      <c r="B122" s="6" t="str">
        <f>IF(SAP!$A$7=1,VLOOKUP(A122,SAP!$1:$1048576,2,FALSE),IF(SAP!$A$7=2,VLOOKUP(A122,SAP!$1:$1048576,5,FALSE),IF(SAP!$A$7=3,VLOOKUP(A122,SAP!$1:$1048576,6,FALSE),IF(SAP!$A$7=4,VLOOKUP(A122,SAP!$1:$1048576,7,FALSE)))))</f>
        <v>__</v>
      </c>
      <c r="C122" s="13">
        <f>G122</f>
        <v>0</v>
      </c>
      <c r="E122" s="6">
        <f>IF(A122=0,0,IF(A122&lt;&gt;0,C122))</f>
        <v>0</v>
      </c>
      <c r="G122" s="6">
        <f>SUM(G120:G121)</f>
        <v>0</v>
      </c>
    </row>
    <row r="123" spans="1:7" s="6" customFormat="1" hidden="1" x14ac:dyDescent="0.25">
      <c r="A123" s="6">
        <f>IF(B90=2,A304,IF(B90=1,0,IF(B90=3,0)))</f>
        <v>782922</v>
      </c>
      <c r="B123" s="6" t="str">
        <f>IF(SAP!$A$7=1,VLOOKUP(A123,SAP!$1:$1048576,2,FALSE),IF(SAP!$A$7=2,VLOOKUP(A123,SAP!$1:$1048576,5,FALSE),IF(SAP!$A$7=3,VLOOKUP(A123,SAP!$1:$1048576,6,FALSE),IF(SAP!$A$7=4,VLOOKUP(A123,SAP!$1:$1048576,7,FALSE)))))</f>
        <v>Prowadnica L=6,4M R01.1-1101 PIN</v>
      </c>
      <c r="C123" s="6">
        <f>IF(B90=2,1,IF(B90=1,0,IF(B90=3,0)))</f>
        <v>1</v>
      </c>
      <c r="E123" s="6">
        <f t="shared" si="7"/>
        <v>1</v>
      </c>
    </row>
    <row r="124" spans="1:7" s="6" customFormat="1" hidden="1" x14ac:dyDescent="0.25">
      <c r="A124" s="6">
        <f>IF(B90=2,A301,IF(B90=1,0,IF(B90=3,0)))</f>
        <v>807734</v>
      </c>
      <c r="B124" s="6" t="str">
        <f>IF(SAP!$A$7=1,VLOOKUP(A124,SAP!$1:$1048576,2,FALSE),IF(SAP!$A$7=2,VLOOKUP(A124,SAP!$1:$1048576,5,FALSE),IF(SAP!$A$7=3,VLOOKUP(A124,SAP!$1:$1048576,6,FALSE),IF(SAP!$A$7=4,VLOOKUP(A124,SAP!$1:$1048576,7,FALSE)))))</f>
        <v>Próg AL L=6,4M R01.1-1101 PIN</v>
      </c>
      <c r="C124" s="6">
        <f>IF(B90=2,1,IF(B90=1,0,IF(B90=3,0)))</f>
        <v>1</v>
      </c>
      <c r="E124" s="6">
        <f t="shared" si="7"/>
        <v>1</v>
      </c>
    </row>
    <row r="125" spans="1:7" s="6" customFormat="1" hidden="1" x14ac:dyDescent="0.25">
      <c r="A125" s="6">
        <f>IF(B90=2,A306,IF(B90=1,0,IF(B90=3,0)))</f>
        <v>473587</v>
      </c>
      <c r="B125" s="6" t="str">
        <f>IF(SAP!$A$7=1,VLOOKUP(A125,SAP!$1:$1048576,2,FALSE),IF(SAP!$A$7=2,VLOOKUP(A125,SAP!$1:$1048576,5,FALSE),IF(SAP!$A$7=3,VLOOKUP(A125,SAP!$1:$1048576,6,FALSE),IF(SAP!$A$7=4,VLOOKUP(A125,SAP!$1:$1048576,7,FALSE)))))</f>
        <v>Uszczelka QL-3006 2,1m BRĄZ RAL8019</v>
      </c>
      <c r="C125" s="14">
        <f>ROUNDUP(IF(B90=2,(((2*D93)+(3*C93))/2100),IF(B90=1,0,IF(B90=3,0))),0)*2</f>
        <v>10</v>
      </c>
      <c r="D125" s="15" t="s">
        <v>93</v>
      </c>
      <c r="E125" s="6">
        <f t="shared" si="7"/>
        <v>10</v>
      </c>
    </row>
    <row r="126" spans="1:7" s="6" customFormat="1" hidden="1" x14ac:dyDescent="0.25">
      <c r="A126" s="6">
        <f>IF(B90=2,A307,IF(B90=1,0,IF(B90=3,0)))</f>
        <v>473588</v>
      </c>
      <c r="B126" s="6" t="str">
        <f>IF(SAP!$A$7=1,VLOOKUP(A126,SAP!$1:$1048576,2,FALSE),IF(SAP!$A$7=2,VLOOKUP(A126,SAP!$1:$1048576,5,FALSE),IF(SAP!$A$7=3,VLOOKUP(A126,SAP!$1:$1048576,6,FALSE),IF(SAP!$A$7=4,VLOOKUP(A126,SAP!$1:$1048576,7,FALSE)))))</f>
        <v>Uszczelka QL-7000 BRĄZ RAL8019</v>
      </c>
      <c r="C126" s="14">
        <f>IF(B90=2,(C93/1000),IF(B90=1,0,IF(B90=3,0)))*2</f>
        <v>4.2320000000000002</v>
      </c>
      <c r="D126" s="15" t="s">
        <v>92</v>
      </c>
      <c r="E126" s="14">
        <f t="shared" si="7"/>
        <v>4.2320000000000002</v>
      </c>
    </row>
    <row r="127" spans="1:7" s="6" customFormat="1" hidden="1" x14ac:dyDescent="0.25">
      <c r="A127" s="6">
        <f>IF(B90=1,0,IF(B90=2,D428,IF(B90=3,0)))</f>
        <v>0</v>
      </c>
      <c r="B127" s="6" t="str">
        <f>IF(SAP!$A$7=1,VLOOKUP(A127,SAP!$1:$1048576,2,FALSE),IF(SAP!$A$7=2,VLOOKUP(A127,SAP!$1:$1048576,5,FALSE),IF(SAP!$A$7=3,VLOOKUP(A127,SAP!$1:$1048576,6,FALSE),IF(SAP!$A$7=4,VLOOKUP(A127,SAP!$1:$1048576,7,FALSE)))))</f>
        <v>__</v>
      </c>
      <c r="C127" s="6">
        <f>3</f>
        <v>3</v>
      </c>
      <c r="E127" s="6">
        <f>IF(A127=0,0,IF(A127&lt;&gt;0,C127))</f>
        <v>0</v>
      </c>
    </row>
    <row r="128" spans="1:7" s="6" customFormat="1" hidden="1" x14ac:dyDescent="0.25">
      <c r="C128" s="14"/>
    </row>
    <row r="129" spans="1:10" s="6" customFormat="1" hidden="1" x14ac:dyDescent="0.25">
      <c r="C129" s="14"/>
    </row>
    <row r="130" spans="1:10" s="6" customFormat="1" hidden="1" x14ac:dyDescent="0.25">
      <c r="C130" s="6" t="s">
        <v>3</v>
      </c>
      <c r="D130" s="6" t="s">
        <v>1</v>
      </c>
      <c r="E130" s="6" t="s">
        <v>2</v>
      </c>
      <c r="F130" s="16" t="s">
        <v>4</v>
      </c>
      <c r="G130" s="6" t="s">
        <v>5</v>
      </c>
    </row>
    <row r="131" spans="1:10" s="6" customFormat="1" hidden="1" x14ac:dyDescent="0.25">
      <c r="A131" s="6">
        <v>793942</v>
      </c>
      <c r="B131" s="6" t="str">
        <f>VLOOKUP(A131,SAP!$1:$1048576,2,FALSE)</f>
        <v>Zasuwn. KSR 690/263 D25 PIN</v>
      </c>
      <c r="C131" s="6">
        <f>C93</f>
        <v>2116</v>
      </c>
      <c r="D131" s="6">
        <v>590</v>
      </c>
      <c r="E131" s="6">
        <v>800</v>
      </c>
      <c r="F131" s="16">
        <f>IF(C131&lt;D131,0,IF(C131&lt;=E131,1,IF(C131&gt;E131,0)))</f>
        <v>0</v>
      </c>
      <c r="G131" s="6">
        <f t="shared" ref="G131:G137" si="8">A131*F131</f>
        <v>0</v>
      </c>
    </row>
    <row r="132" spans="1:10" s="6" customFormat="1" hidden="1" x14ac:dyDescent="0.25">
      <c r="A132" s="6">
        <v>793943</v>
      </c>
      <c r="B132" s="6" t="str">
        <f>VLOOKUP(A132,SAP!$1:$1048576,2,FALSE)</f>
        <v>Zasuwn. KSR 890/413 D25 PIN</v>
      </c>
      <c r="C132" s="6">
        <f>C131</f>
        <v>2116</v>
      </c>
      <c r="D132" s="6">
        <v>801</v>
      </c>
      <c r="E132" s="6">
        <v>1000</v>
      </c>
      <c r="F132" s="16">
        <f t="shared" ref="F132:F137" si="9">IF(C132&lt;D132,0,IF(C132&lt;=E132,1,IF(C132&gt;E132,0)))</f>
        <v>0</v>
      </c>
      <c r="G132" s="6">
        <f t="shared" si="8"/>
        <v>0</v>
      </c>
    </row>
    <row r="133" spans="1:10" s="6" customFormat="1" hidden="1" x14ac:dyDescent="0.25">
      <c r="A133" s="6">
        <v>793944</v>
      </c>
      <c r="B133" s="6" t="str">
        <f>VLOOKUP(A133,SAP!$1:$1048576,2,FALSE)</f>
        <v>Zasuwn. KSR 1090/513 1V D25 PIN</v>
      </c>
      <c r="C133" s="6">
        <f>C131</f>
        <v>2116</v>
      </c>
      <c r="D133" s="6">
        <v>1001</v>
      </c>
      <c r="E133" s="6">
        <v>1200</v>
      </c>
      <c r="F133" s="16">
        <f t="shared" si="9"/>
        <v>0</v>
      </c>
      <c r="G133" s="6">
        <f t="shared" si="8"/>
        <v>0</v>
      </c>
    </row>
    <row r="134" spans="1:10" s="6" customFormat="1" hidden="1" x14ac:dyDescent="0.25">
      <c r="A134" s="6">
        <v>793975</v>
      </c>
      <c r="B134" s="6" t="str">
        <f>VLOOKUP(A134,SAP!$1:$1048576,2,FALSE)</f>
        <v>Zasuwn. KSR 1290/563 1V D25 PIN</v>
      </c>
      <c r="C134" s="6">
        <f>C131</f>
        <v>2116</v>
      </c>
      <c r="D134" s="6">
        <v>1201</v>
      </c>
      <c r="E134" s="6">
        <v>1600</v>
      </c>
      <c r="F134" s="16">
        <f t="shared" si="9"/>
        <v>0</v>
      </c>
      <c r="G134" s="6">
        <f t="shared" si="8"/>
        <v>0</v>
      </c>
    </row>
    <row r="135" spans="1:10" s="6" customFormat="1" hidden="1" x14ac:dyDescent="0.25">
      <c r="A135" s="6">
        <v>793977</v>
      </c>
      <c r="B135" s="6" t="str">
        <f>VLOOKUP(A135,SAP!$1:$1048576,2,FALSE)</f>
        <v>Zasuwn. KSR 1690/563 1V D25 PIN</v>
      </c>
      <c r="C135" s="6">
        <f>C131</f>
        <v>2116</v>
      </c>
      <c r="D135" s="6">
        <v>1601</v>
      </c>
      <c r="E135" s="6">
        <v>1800</v>
      </c>
      <c r="F135" s="16">
        <f t="shared" si="9"/>
        <v>0</v>
      </c>
      <c r="G135" s="6">
        <f t="shared" si="8"/>
        <v>0</v>
      </c>
    </row>
    <row r="136" spans="1:10" s="6" customFormat="1" hidden="1" x14ac:dyDescent="0.25">
      <c r="A136" s="6">
        <v>793978</v>
      </c>
      <c r="B136" s="6" t="str">
        <f>VLOOKUP(A136,SAP!$1:$1048576,2,FALSE)</f>
        <v>Zasuwn. KSR 1890/1000 2V D25 PIN</v>
      </c>
      <c r="C136" s="6">
        <f>C131</f>
        <v>2116</v>
      </c>
      <c r="D136" s="6">
        <v>1801</v>
      </c>
      <c r="E136" s="6">
        <v>2400</v>
      </c>
      <c r="F136" s="16">
        <f t="shared" si="9"/>
        <v>1</v>
      </c>
      <c r="G136" s="6">
        <f t="shared" si="8"/>
        <v>793978</v>
      </c>
    </row>
    <row r="137" spans="1:10" s="6" customFormat="1" hidden="1" x14ac:dyDescent="0.25">
      <c r="A137" s="6">
        <v>793980</v>
      </c>
      <c r="B137" s="6" t="str">
        <f>VLOOKUP(A137,SAP!$1:$1048576,2,FALSE)</f>
        <v>Zasuwn. KSR 2290/1000 2V D25 PIN</v>
      </c>
      <c r="C137" s="6">
        <f>C131</f>
        <v>2116</v>
      </c>
      <c r="D137" s="6">
        <v>2401</v>
      </c>
      <c r="E137" s="6">
        <v>2500</v>
      </c>
      <c r="F137" s="16">
        <f t="shared" si="9"/>
        <v>0</v>
      </c>
      <c r="G137" s="6">
        <f t="shared" si="8"/>
        <v>0</v>
      </c>
    </row>
    <row r="138" spans="1:10" s="6" customFormat="1" hidden="1" x14ac:dyDescent="0.25">
      <c r="F138" s="6">
        <f>SUM(F131:F137)</f>
        <v>1</v>
      </c>
      <c r="G138" s="32">
        <f>SUM(G131:G137)</f>
        <v>793978</v>
      </c>
    </row>
    <row r="139" spans="1:10" s="6" customFormat="1" hidden="1" x14ac:dyDescent="0.25">
      <c r="A139" s="6">
        <v>798285</v>
      </c>
      <c r="B139" s="6" t="str">
        <f>VLOOKUP(A139,SAP!$1:$1048576,2,FALSE)</f>
        <v>Zasuwn. KSR +PZ 1890/1000 2V D25 PIN</v>
      </c>
      <c r="C139" s="6">
        <f>C93</f>
        <v>2116</v>
      </c>
      <c r="D139" s="6">
        <v>1801</v>
      </c>
      <c r="E139" s="6">
        <v>2000</v>
      </c>
      <c r="F139" s="16">
        <f>IF(C139&lt;D139,0,IF(C139&lt;=E139,1,IF(C139&gt;E139,0)))</f>
        <v>0</v>
      </c>
      <c r="G139" s="6">
        <f>A139*F139</f>
        <v>0</v>
      </c>
    </row>
    <row r="140" spans="1:10" s="6" customFormat="1" hidden="1" x14ac:dyDescent="0.25">
      <c r="A140" s="6">
        <v>798285</v>
      </c>
      <c r="B140" s="6" t="str">
        <f>VLOOKUP(A140,SAP!$1:$1048576,2,FALSE)</f>
        <v>Zasuwn. KSR +PZ 1890/1000 2V D25 PIN</v>
      </c>
      <c r="C140" s="6">
        <f>C139</f>
        <v>2116</v>
      </c>
      <c r="D140" s="6">
        <v>2001</v>
      </c>
      <c r="E140" s="6">
        <v>2200</v>
      </c>
      <c r="F140" s="16">
        <f>IF(C140&lt;D140,0,IF(C140&lt;=E140,1,IF(C140&gt;E140,0)))</f>
        <v>1</v>
      </c>
      <c r="G140" s="6">
        <f>A140*F140</f>
        <v>798285</v>
      </c>
    </row>
    <row r="141" spans="1:10" s="6" customFormat="1" hidden="1" x14ac:dyDescent="0.25">
      <c r="A141" s="6">
        <v>798285</v>
      </c>
      <c r="B141" s="6" t="str">
        <f>VLOOKUP(A141,SAP!$1:$1048576,2,FALSE)</f>
        <v>Zasuwn. KSR +PZ 1890/1000 2V D25 PIN</v>
      </c>
      <c r="C141" s="6">
        <f>C139</f>
        <v>2116</v>
      </c>
      <c r="D141" s="6">
        <v>2201</v>
      </c>
      <c r="E141" s="6">
        <v>2400</v>
      </c>
      <c r="F141" s="16">
        <f>IF(C141&lt;D141,0,IF(C141&lt;=E141,1,IF(C141&gt;E141,0)))</f>
        <v>0</v>
      </c>
      <c r="G141" s="6">
        <f>A141*F141</f>
        <v>0</v>
      </c>
    </row>
    <row r="142" spans="1:10" s="6" customFormat="1" hidden="1" x14ac:dyDescent="0.25">
      <c r="A142" s="6">
        <v>798286</v>
      </c>
      <c r="B142" s="6" t="str">
        <f>VLOOKUP(A142,SAP!$1:$1048576,2,FALSE)</f>
        <v>Zasuwn. KSR +PZ 2290/1000 2V D25 PIN</v>
      </c>
      <c r="C142" s="6">
        <f>C139</f>
        <v>2116</v>
      </c>
      <c r="D142" s="6">
        <v>2401</v>
      </c>
      <c r="E142" s="6">
        <v>2500</v>
      </c>
      <c r="F142" s="16">
        <f>IF(C142&lt;D142,0,IF(C142&lt;=E142,1,IF(C142&gt;E142,0)))</f>
        <v>0</v>
      </c>
      <c r="G142" s="6">
        <f>A142*F142</f>
        <v>0</v>
      </c>
    </row>
    <row r="143" spans="1:10" s="6" customFormat="1" hidden="1" x14ac:dyDescent="0.25">
      <c r="F143" s="16"/>
      <c r="G143" s="11">
        <f>SUM(G139:G142)</f>
        <v>798285</v>
      </c>
      <c r="J143" s="6" t="s">
        <v>280</v>
      </c>
    </row>
    <row r="144" spans="1:10" s="6" customFormat="1" hidden="1" x14ac:dyDescent="0.25">
      <c r="C144" s="11">
        <f>IF(C194=1,G138,IF(C194=2,G143))</f>
        <v>793978</v>
      </c>
      <c r="J144" s="11">
        <f>IF(F194=1,G138,IF(F194=2,G143))</f>
        <v>793978</v>
      </c>
    </row>
    <row r="145" spans="1:10" s="6" customFormat="1" hidden="1" x14ac:dyDescent="0.25"/>
    <row r="146" spans="1:10" s="6" customFormat="1" hidden="1" x14ac:dyDescent="0.25">
      <c r="A146" s="6">
        <v>785912</v>
      </c>
      <c r="B146" s="6" t="str">
        <f>VLOOKUP(A146,SAP!$1:$1048576,2,FALSE)</f>
        <v>Zasuwn. KSR 690/263 D30 PIN</v>
      </c>
      <c r="C146" s="6">
        <f>C93</f>
        <v>2116</v>
      </c>
      <c r="D146" s="6">
        <v>590</v>
      </c>
      <c r="E146" s="6">
        <v>800</v>
      </c>
      <c r="F146" s="16">
        <f>IF(C146&lt;D146,0,IF(C146&lt;=E146,1,IF(C146&gt;E146,0)))</f>
        <v>0</v>
      </c>
      <c r="G146" s="6">
        <f t="shared" ref="G146:G152" si="10">A146*F146</f>
        <v>0</v>
      </c>
    </row>
    <row r="147" spans="1:10" s="6" customFormat="1" hidden="1" x14ac:dyDescent="0.25">
      <c r="A147" s="6">
        <v>785913</v>
      </c>
      <c r="B147" s="6" t="str">
        <f>VLOOKUP(A147,SAP!$1:$1048576,2,FALSE)</f>
        <v>Zasuwn. KSR 890/413 D30 PIN</v>
      </c>
      <c r="C147" s="6">
        <f>C146</f>
        <v>2116</v>
      </c>
      <c r="D147" s="6">
        <v>801</v>
      </c>
      <c r="E147" s="6">
        <v>1000</v>
      </c>
      <c r="F147" s="16">
        <f t="shared" ref="F147:F152" si="11">IF(C147&lt;D147,0,IF(C147&lt;=E147,1,IF(C147&gt;E147,0)))</f>
        <v>0</v>
      </c>
      <c r="G147" s="6">
        <f t="shared" si="10"/>
        <v>0</v>
      </c>
    </row>
    <row r="148" spans="1:10" s="6" customFormat="1" hidden="1" x14ac:dyDescent="0.25">
      <c r="A148" s="6">
        <v>785914</v>
      </c>
      <c r="B148" s="6" t="str">
        <f>VLOOKUP(A148,SAP!$1:$1048576,2,FALSE)</f>
        <v>Zasuwn. KSR 1090/513 1V D30 PIN</v>
      </c>
      <c r="C148" s="6">
        <f>C146</f>
        <v>2116</v>
      </c>
      <c r="D148" s="6">
        <v>1001</v>
      </c>
      <c r="E148" s="6">
        <v>1200</v>
      </c>
      <c r="F148" s="16">
        <f t="shared" si="11"/>
        <v>0</v>
      </c>
      <c r="G148" s="6">
        <f t="shared" si="10"/>
        <v>0</v>
      </c>
    </row>
    <row r="149" spans="1:10" s="6" customFormat="1" hidden="1" x14ac:dyDescent="0.25">
      <c r="A149" s="6">
        <v>785915</v>
      </c>
      <c r="B149" s="6" t="str">
        <f>VLOOKUP(A149,SAP!$1:$1048576,2,FALSE)</f>
        <v>Zasuwn. KSR 1290/563 1V D30 PIN</v>
      </c>
      <c r="C149" s="6">
        <f>C146</f>
        <v>2116</v>
      </c>
      <c r="D149" s="6">
        <v>1201</v>
      </c>
      <c r="E149" s="6">
        <v>1600</v>
      </c>
      <c r="F149" s="16">
        <f t="shared" si="11"/>
        <v>0</v>
      </c>
      <c r="G149" s="6">
        <f t="shared" si="10"/>
        <v>0</v>
      </c>
    </row>
    <row r="150" spans="1:10" s="6" customFormat="1" hidden="1" x14ac:dyDescent="0.25">
      <c r="A150" s="6">
        <v>785917</v>
      </c>
      <c r="B150" s="6" t="str">
        <f>VLOOKUP(A150,SAP!$1:$1048576,2,FALSE)</f>
        <v>Zasuwn. KSR 1690/563 1V D30 PIN</v>
      </c>
      <c r="C150" s="6">
        <f>C146</f>
        <v>2116</v>
      </c>
      <c r="D150" s="6">
        <v>1601</v>
      </c>
      <c r="E150" s="6">
        <v>1800</v>
      </c>
      <c r="F150" s="16">
        <f t="shared" si="11"/>
        <v>0</v>
      </c>
      <c r="G150" s="6">
        <f t="shared" si="10"/>
        <v>0</v>
      </c>
    </row>
    <row r="151" spans="1:10" s="6" customFormat="1" hidden="1" x14ac:dyDescent="0.25">
      <c r="A151" s="6">
        <v>785918</v>
      </c>
      <c r="B151" s="6" t="str">
        <f>VLOOKUP(A151,SAP!$1:$1048576,2,FALSE)</f>
        <v>Zasuwn. KSR 1890/1000 2V D30 PIN</v>
      </c>
      <c r="C151" s="6">
        <f>C146</f>
        <v>2116</v>
      </c>
      <c r="D151" s="6">
        <v>1801</v>
      </c>
      <c r="E151" s="6">
        <v>2400</v>
      </c>
      <c r="F151" s="16">
        <f t="shared" si="11"/>
        <v>1</v>
      </c>
      <c r="G151" s="6">
        <f t="shared" si="10"/>
        <v>785918</v>
      </c>
    </row>
    <row r="152" spans="1:10" s="6" customFormat="1" hidden="1" x14ac:dyDescent="0.25">
      <c r="A152" s="6">
        <v>785920</v>
      </c>
      <c r="B152" s="6" t="str">
        <f>VLOOKUP(A152,SAP!$1:$1048576,2,FALSE)</f>
        <v>Zasuwn. KSR 2290/1000 2V D30 PIN</v>
      </c>
      <c r="C152" s="6">
        <f>C146</f>
        <v>2116</v>
      </c>
      <c r="D152" s="6">
        <v>2401</v>
      </c>
      <c r="E152" s="6">
        <v>2500</v>
      </c>
      <c r="F152" s="16">
        <f t="shared" si="11"/>
        <v>0</v>
      </c>
      <c r="G152" s="6">
        <f t="shared" si="10"/>
        <v>0</v>
      </c>
    </row>
    <row r="153" spans="1:10" s="6" customFormat="1" hidden="1" x14ac:dyDescent="0.25">
      <c r="G153" s="11">
        <f>SUM(G146:G152)</f>
        <v>785918</v>
      </c>
    </row>
    <row r="154" spans="1:10" s="6" customFormat="1" hidden="1" x14ac:dyDescent="0.25">
      <c r="A154" s="6">
        <v>798287</v>
      </c>
      <c r="B154" s="6" t="str">
        <f>VLOOKUP(A154,SAP!$1:$1048576,2,FALSE)</f>
        <v>Zasuwn. KSR +PZ 1890/1000 2V D30 PIN</v>
      </c>
      <c r="C154" s="6">
        <f>C93</f>
        <v>2116</v>
      </c>
      <c r="D154" s="6">
        <v>1801</v>
      </c>
      <c r="E154" s="6">
        <v>2000</v>
      </c>
      <c r="F154" s="16">
        <f>IF(C154&lt;D154,0,IF(C154&lt;=E154,1,IF(C154&gt;E154,0)))</f>
        <v>0</v>
      </c>
      <c r="G154" s="6">
        <f>A154*F154</f>
        <v>0</v>
      </c>
    </row>
    <row r="155" spans="1:10" s="6" customFormat="1" hidden="1" x14ac:dyDescent="0.25">
      <c r="A155" s="6">
        <v>798287</v>
      </c>
      <c r="B155" s="6" t="str">
        <f>VLOOKUP(A155,SAP!$1:$1048576,2,FALSE)</f>
        <v>Zasuwn. KSR +PZ 1890/1000 2V D30 PIN</v>
      </c>
      <c r="C155" s="6">
        <f>C154</f>
        <v>2116</v>
      </c>
      <c r="D155" s="6">
        <v>2001</v>
      </c>
      <c r="E155" s="6">
        <v>2200</v>
      </c>
      <c r="F155" s="16">
        <f>IF(C155&lt;D155,0,IF(C155&lt;=E155,1,IF(C155&gt;E155,0)))</f>
        <v>1</v>
      </c>
      <c r="G155" s="6">
        <f>A155*F155</f>
        <v>798287</v>
      </c>
    </row>
    <row r="156" spans="1:10" s="6" customFormat="1" hidden="1" x14ac:dyDescent="0.25">
      <c r="A156" s="6">
        <v>798287</v>
      </c>
      <c r="B156" s="6" t="str">
        <f>VLOOKUP(A156,SAP!$1:$1048576,2,FALSE)</f>
        <v>Zasuwn. KSR +PZ 1890/1000 2V D30 PIN</v>
      </c>
      <c r="C156" s="6">
        <f>C154</f>
        <v>2116</v>
      </c>
      <c r="D156" s="6">
        <v>2201</v>
      </c>
      <c r="E156" s="6">
        <v>2400</v>
      </c>
      <c r="F156" s="16">
        <f>IF(C156&lt;D156,0,IF(C156&lt;=E156,1,IF(C156&gt;E156,0)))</f>
        <v>0</v>
      </c>
      <c r="G156" s="6">
        <f>A156*F156</f>
        <v>0</v>
      </c>
    </row>
    <row r="157" spans="1:10" s="6" customFormat="1" hidden="1" x14ac:dyDescent="0.25">
      <c r="A157" s="6">
        <v>798288</v>
      </c>
      <c r="B157" s="6" t="str">
        <f>VLOOKUP(A157,SAP!$1:$1048576,2,FALSE)</f>
        <v>Zasuwn. KSR +PZ 2290/1000 2V D30 PIN</v>
      </c>
      <c r="C157" s="6">
        <f>C154</f>
        <v>2116</v>
      </c>
      <c r="D157" s="6">
        <v>2401</v>
      </c>
      <c r="E157" s="6">
        <v>2500</v>
      </c>
      <c r="F157" s="16">
        <f>IF(C157&lt;D157,0,IF(C157&lt;=E157,1,IF(C157&gt;E157,0)))</f>
        <v>0</v>
      </c>
      <c r="G157" s="6">
        <f>A157*F157</f>
        <v>0</v>
      </c>
    </row>
    <row r="158" spans="1:10" s="6" customFormat="1" hidden="1" x14ac:dyDescent="0.25">
      <c r="G158" s="11">
        <f>SUM(G154:G157)</f>
        <v>798287</v>
      </c>
    </row>
    <row r="159" spans="1:10" s="6" customFormat="1" hidden="1" x14ac:dyDescent="0.25">
      <c r="C159" s="11">
        <f>IF(C194=1,G153,IF(C194=2,G158))</f>
        <v>785918</v>
      </c>
      <c r="J159" s="11">
        <f>IF(F194=1,G153,IF(F194=2,G158))</f>
        <v>785918</v>
      </c>
    </row>
    <row r="160" spans="1:10" s="6" customFormat="1" hidden="1" x14ac:dyDescent="0.25"/>
    <row r="161" spans="1:10" s="6" customFormat="1" hidden="1" x14ac:dyDescent="0.25">
      <c r="A161" s="6">
        <v>792143</v>
      </c>
      <c r="B161" s="6" t="str">
        <f>VLOOKUP(A161,SAP!$1:$1048576,2,FALSE)</f>
        <v>Zasuwn. KSR 690/263 D40 PIN</v>
      </c>
      <c r="C161" s="6">
        <f>C93</f>
        <v>2116</v>
      </c>
      <c r="D161" s="6">
        <v>590</v>
      </c>
      <c r="E161" s="6">
        <v>800</v>
      </c>
      <c r="F161" s="16">
        <f>IF(C161&lt;D161,0,IF(C161&lt;=E161,1,IF(C161&gt;E161,0)))</f>
        <v>0</v>
      </c>
      <c r="G161" s="6">
        <f t="shared" ref="G161:G167" si="12">A161*F161</f>
        <v>0</v>
      </c>
    </row>
    <row r="162" spans="1:10" s="6" customFormat="1" hidden="1" x14ac:dyDescent="0.25">
      <c r="A162" s="6">
        <v>792144</v>
      </c>
      <c r="B162" s="6" t="str">
        <f>VLOOKUP(A162,SAP!$1:$1048576,2,FALSE)</f>
        <v>Zasuwn. KSR 890/413 D40 PIN</v>
      </c>
      <c r="C162" s="6">
        <f>C161</f>
        <v>2116</v>
      </c>
      <c r="D162" s="6">
        <v>801</v>
      </c>
      <c r="E162" s="6">
        <v>1000</v>
      </c>
      <c r="F162" s="16">
        <f t="shared" ref="F162:F167" si="13">IF(C162&lt;D162,0,IF(C162&lt;=E162,1,IF(C162&gt;E162,0)))</f>
        <v>0</v>
      </c>
      <c r="G162" s="6">
        <f t="shared" si="12"/>
        <v>0</v>
      </c>
    </row>
    <row r="163" spans="1:10" s="6" customFormat="1" hidden="1" x14ac:dyDescent="0.25">
      <c r="A163" s="6">
        <v>792185</v>
      </c>
      <c r="B163" s="6" t="str">
        <f>VLOOKUP(A163,SAP!$1:$1048576,2,FALSE)</f>
        <v>Zasuwn. KSR 1090/513 1V D40 PIN</v>
      </c>
      <c r="C163" s="6">
        <f>C161</f>
        <v>2116</v>
      </c>
      <c r="D163" s="6">
        <v>1001</v>
      </c>
      <c r="E163" s="6">
        <v>1200</v>
      </c>
      <c r="F163" s="16">
        <f t="shared" si="13"/>
        <v>0</v>
      </c>
      <c r="G163" s="6">
        <f t="shared" si="12"/>
        <v>0</v>
      </c>
    </row>
    <row r="164" spans="1:10" s="6" customFormat="1" hidden="1" x14ac:dyDescent="0.25">
      <c r="A164" s="6">
        <v>792188</v>
      </c>
      <c r="B164" s="6" t="str">
        <f>VLOOKUP(A164,SAP!$1:$1048576,2,FALSE)</f>
        <v>Zasuwn. KSR 1290/563 1V D40 PIN</v>
      </c>
      <c r="C164" s="6">
        <f>C161</f>
        <v>2116</v>
      </c>
      <c r="D164" s="6">
        <v>1201</v>
      </c>
      <c r="E164" s="6">
        <v>1600</v>
      </c>
      <c r="F164" s="16">
        <f t="shared" si="13"/>
        <v>0</v>
      </c>
      <c r="G164" s="6">
        <f t="shared" si="12"/>
        <v>0</v>
      </c>
    </row>
    <row r="165" spans="1:10" s="6" customFormat="1" hidden="1" x14ac:dyDescent="0.25">
      <c r="A165" s="6">
        <v>792190</v>
      </c>
      <c r="B165" s="6" t="str">
        <f>VLOOKUP(A165,SAP!$1:$1048576,2,FALSE)</f>
        <v>Zasuwn. KSR 1690/563 1V D40 PIN</v>
      </c>
      <c r="C165" s="6">
        <f>C161</f>
        <v>2116</v>
      </c>
      <c r="D165" s="6">
        <v>1601</v>
      </c>
      <c r="E165" s="6">
        <v>1800</v>
      </c>
      <c r="F165" s="16">
        <f t="shared" si="13"/>
        <v>0</v>
      </c>
      <c r="G165" s="6">
        <f t="shared" si="12"/>
        <v>0</v>
      </c>
    </row>
    <row r="166" spans="1:10" s="6" customFormat="1" hidden="1" x14ac:dyDescent="0.25">
      <c r="A166" s="6">
        <v>792191</v>
      </c>
      <c r="B166" s="6" t="str">
        <f>VLOOKUP(A166,SAP!$1:$1048576,2,FALSE)</f>
        <v>Zasuwn. KSR 1890/1000 2V D40 PIN</v>
      </c>
      <c r="C166" s="6">
        <f>C161</f>
        <v>2116</v>
      </c>
      <c r="D166" s="6">
        <v>1801</v>
      </c>
      <c r="E166" s="6">
        <v>2400</v>
      </c>
      <c r="F166" s="16">
        <f t="shared" si="13"/>
        <v>1</v>
      </c>
      <c r="G166" s="6">
        <f t="shared" si="12"/>
        <v>792191</v>
      </c>
    </row>
    <row r="167" spans="1:10" s="6" customFormat="1" hidden="1" x14ac:dyDescent="0.25">
      <c r="A167" s="6">
        <v>792193</v>
      </c>
      <c r="B167" s="6" t="str">
        <f>VLOOKUP(A167,SAP!$1:$1048576,2,FALSE)</f>
        <v>Zasuwn. KSR 2290/1000 2V D40 PIN</v>
      </c>
      <c r="C167" s="6">
        <f>C161</f>
        <v>2116</v>
      </c>
      <c r="D167" s="6">
        <v>2401</v>
      </c>
      <c r="E167" s="6">
        <v>2500</v>
      </c>
      <c r="F167" s="16">
        <f t="shared" si="13"/>
        <v>0</v>
      </c>
      <c r="G167" s="6">
        <f t="shared" si="12"/>
        <v>0</v>
      </c>
    </row>
    <row r="168" spans="1:10" s="6" customFormat="1" hidden="1" x14ac:dyDescent="0.25">
      <c r="G168" s="11">
        <f>SUM(G161:G167)</f>
        <v>792191</v>
      </c>
    </row>
    <row r="169" spans="1:10" s="6" customFormat="1" hidden="1" x14ac:dyDescent="0.25"/>
    <row r="170" spans="1:10" s="6" customFormat="1" hidden="1" x14ac:dyDescent="0.25">
      <c r="A170" s="6">
        <v>795603</v>
      </c>
      <c r="B170" s="6" t="str">
        <f>VLOOKUP(A170,SAP!$1:$1048576,2,FALSE)</f>
        <v>Zasuwn. KSR +PZ 1890/1000 2V D40 PIN</v>
      </c>
      <c r="C170" s="6">
        <f>C93</f>
        <v>2116</v>
      </c>
      <c r="D170" s="6">
        <v>1801</v>
      </c>
      <c r="E170" s="6">
        <v>2000</v>
      </c>
      <c r="F170" s="16">
        <f>IF(C170&lt;D170,0,IF(C170&lt;=E170,1,IF(C170&gt;E170,0)))</f>
        <v>0</v>
      </c>
      <c r="G170" s="6">
        <f>A170*F170</f>
        <v>0</v>
      </c>
    </row>
    <row r="171" spans="1:10" s="6" customFormat="1" hidden="1" x14ac:dyDescent="0.25">
      <c r="A171" s="6">
        <v>795603</v>
      </c>
      <c r="B171" s="6" t="str">
        <f>VLOOKUP(A171,SAP!$1:$1048576,2,FALSE)</f>
        <v>Zasuwn. KSR +PZ 1890/1000 2V D40 PIN</v>
      </c>
      <c r="C171" s="6">
        <f>C170</f>
        <v>2116</v>
      </c>
      <c r="D171" s="6">
        <v>2001</v>
      </c>
      <c r="E171" s="6">
        <v>2200</v>
      </c>
      <c r="F171" s="16">
        <f>IF(C171&lt;D171,0,IF(C171&lt;=E171,1,IF(C171&gt;E171,0)))</f>
        <v>1</v>
      </c>
      <c r="G171" s="6">
        <f>A171*F171</f>
        <v>795603</v>
      </c>
    </row>
    <row r="172" spans="1:10" s="6" customFormat="1" hidden="1" x14ac:dyDescent="0.25">
      <c r="A172" s="6">
        <v>795603</v>
      </c>
      <c r="B172" s="6" t="str">
        <f>VLOOKUP(A172,SAP!$1:$1048576,2,FALSE)</f>
        <v>Zasuwn. KSR +PZ 1890/1000 2V D40 PIN</v>
      </c>
      <c r="C172" s="6">
        <f>C170</f>
        <v>2116</v>
      </c>
      <c r="D172" s="6">
        <v>2201</v>
      </c>
      <c r="E172" s="6">
        <v>2400</v>
      </c>
      <c r="F172" s="16">
        <f>IF(C172&lt;D172,0,IF(C172&lt;=E172,1,IF(C172&gt;E172,0)))</f>
        <v>0</v>
      </c>
      <c r="G172" s="6">
        <f>A172*F172</f>
        <v>0</v>
      </c>
    </row>
    <row r="173" spans="1:10" s="6" customFormat="1" hidden="1" x14ac:dyDescent="0.25">
      <c r="A173" s="6">
        <v>795604</v>
      </c>
      <c r="B173" s="6" t="str">
        <f>VLOOKUP(A173,SAP!$1:$1048576,2,FALSE)</f>
        <v>Zasuwn. KSR +PZ 2290/1000 2V D40 PIN</v>
      </c>
      <c r="C173" s="6">
        <f>C170</f>
        <v>2116</v>
      </c>
      <c r="D173" s="6">
        <v>2401</v>
      </c>
      <c r="E173" s="6">
        <v>2500</v>
      </c>
      <c r="F173" s="16">
        <f>IF(C173&lt;D173,0,IF(C173&lt;=E173,1,IF(C173&gt;E173,0)))</f>
        <v>0</v>
      </c>
      <c r="G173" s="6">
        <f>A173*F173</f>
        <v>0</v>
      </c>
    </row>
    <row r="174" spans="1:10" s="6" customFormat="1" hidden="1" x14ac:dyDescent="0.25">
      <c r="G174" s="11">
        <f>SUM(G170:G173)</f>
        <v>795603</v>
      </c>
    </row>
    <row r="175" spans="1:10" s="6" customFormat="1" hidden="1" x14ac:dyDescent="0.25">
      <c r="C175" s="66">
        <f>IF(C194=1,G168,IF(C194=2,G174))</f>
        <v>792191</v>
      </c>
      <c r="J175" s="11">
        <f>IF(F194=1,G168,IF(F194=2,G174))</f>
        <v>792191</v>
      </c>
    </row>
    <row r="176" spans="1:10" s="6" customFormat="1" hidden="1" x14ac:dyDescent="0.25">
      <c r="C176" s="14"/>
    </row>
    <row r="177" spans="1:10" s="6" customFormat="1" hidden="1" x14ac:dyDescent="0.25">
      <c r="C177" s="14"/>
    </row>
    <row r="178" spans="1:10" s="6" customFormat="1" hidden="1" x14ac:dyDescent="0.25">
      <c r="C178" s="14"/>
    </row>
    <row r="179" spans="1:10" s="6" customFormat="1" hidden="1" x14ac:dyDescent="0.25">
      <c r="C179" s="14"/>
    </row>
    <row r="180" spans="1:10" s="6" customFormat="1" hidden="1" x14ac:dyDescent="0.25">
      <c r="C180" s="14"/>
    </row>
    <row r="181" spans="1:10" s="6" customFormat="1" hidden="1" x14ac:dyDescent="0.25"/>
    <row r="182" spans="1:10" s="6" customFormat="1" hidden="1" x14ac:dyDescent="0.25"/>
    <row r="183" spans="1:10" s="6" customFormat="1" hidden="1" x14ac:dyDescent="0.25">
      <c r="C183" s="6" t="s">
        <v>3</v>
      </c>
      <c r="D183" s="6" t="s">
        <v>1</v>
      </c>
      <c r="E183" s="6" t="s">
        <v>2</v>
      </c>
      <c r="F183" s="16" t="s">
        <v>4</v>
      </c>
      <c r="G183" s="6" t="s">
        <v>5</v>
      </c>
      <c r="H183" s="6" t="s">
        <v>6</v>
      </c>
    </row>
    <row r="184" spans="1:10" s="6" customFormat="1" hidden="1" x14ac:dyDescent="0.25">
      <c r="A184" s="6">
        <f>SAP!A181</f>
        <v>785921</v>
      </c>
      <c r="B184" s="6" t="str">
        <f>SAP!B181</f>
        <v>Zasuwn. KSR 690/263 D50 PIN</v>
      </c>
      <c r="C184" s="6">
        <f>C93</f>
        <v>2116</v>
      </c>
      <c r="D184" s="6">
        <v>590</v>
      </c>
      <c r="E184" s="6">
        <v>800</v>
      </c>
      <c r="F184" s="16">
        <f>IF(C184&lt;D184,0,IF(C184&lt;=E184,1,IF(C184&gt;E184,0)))</f>
        <v>0</v>
      </c>
      <c r="G184" s="6">
        <f t="shared" ref="G184:G190" si="14">A184*F184</f>
        <v>0</v>
      </c>
      <c r="H184" s="6">
        <v>0</v>
      </c>
      <c r="I184" s="6">
        <f t="shared" ref="I184:I190" si="15">F184*H184</f>
        <v>0</v>
      </c>
    </row>
    <row r="185" spans="1:10" s="6" customFormat="1" hidden="1" x14ac:dyDescent="0.25">
      <c r="A185" s="6">
        <f>SAP!A182</f>
        <v>785922</v>
      </c>
      <c r="B185" s="6" t="str">
        <f>SAP!B182</f>
        <v>Zasuwn. KSR 890/413 D50 PIN</v>
      </c>
      <c r="C185" s="6">
        <f>C184</f>
        <v>2116</v>
      </c>
      <c r="D185" s="6">
        <v>801</v>
      </c>
      <c r="E185" s="6">
        <v>1000</v>
      </c>
      <c r="F185" s="16">
        <f t="shared" ref="F185:F190" si="16">IF(C185&lt;D185,0,IF(C185&lt;=E185,1,IF(C185&gt;E185,0)))</f>
        <v>0</v>
      </c>
      <c r="G185" s="6">
        <f t="shared" si="14"/>
        <v>0</v>
      </c>
      <c r="H185" s="6">
        <v>0</v>
      </c>
      <c r="I185" s="6">
        <f t="shared" si="15"/>
        <v>0</v>
      </c>
    </row>
    <row r="186" spans="1:10" s="6" customFormat="1" hidden="1" x14ac:dyDescent="0.25">
      <c r="A186" s="6">
        <f>SAP!A183</f>
        <v>785923</v>
      </c>
      <c r="B186" s="6" t="str">
        <f>SAP!B183</f>
        <v>Zasuwn. KSR 1090/513 1V D50 PIN</v>
      </c>
      <c r="C186" s="6">
        <f>C184</f>
        <v>2116</v>
      </c>
      <c r="D186" s="6">
        <v>1001</v>
      </c>
      <c r="E186" s="6">
        <v>1200</v>
      </c>
      <c r="F186" s="16">
        <f t="shared" si="16"/>
        <v>0</v>
      </c>
      <c r="G186" s="6">
        <f t="shared" si="14"/>
        <v>0</v>
      </c>
      <c r="H186" s="6">
        <v>1</v>
      </c>
      <c r="I186" s="6">
        <f t="shared" si="15"/>
        <v>0</v>
      </c>
    </row>
    <row r="187" spans="1:10" s="6" customFormat="1" hidden="1" x14ac:dyDescent="0.25">
      <c r="A187" s="6">
        <f>SAP!A184</f>
        <v>785924</v>
      </c>
      <c r="B187" s="6" t="str">
        <f>SAP!B184</f>
        <v>Zasuwn. KSR 1290/563 1V D50 PIN</v>
      </c>
      <c r="C187" s="6">
        <f>C184</f>
        <v>2116</v>
      </c>
      <c r="D187" s="6">
        <v>1201</v>
      </c>
      <c r="E187" s="6">
        <v>1600</v>
      </c>
      <c r="F187" s="16">
        <f t="shared" si="16"/>
        <v>0</v>
      </c>
      <c r="G187" s="6">
        <f t="shared" si="14"/>
        <v>0</v>
      </c>
      <c r="H187" s="6">
        <v>1</v>
      </c>
      <c r="I187" s="6">
        <f t="shared" si="15"/>
        <v>0</v>
      </c>
    </row>
    <row r="188" spans="1:10" s="6" customFormat="1" hidden="1" x14ac:dyDescent="0.25">
      <c r="A188" s="6">
        <f>SAP!A185</f>
        <v>785926</v>
      </c>
      <c r="B188" s="6" t="str">
        <f>SAP!B185</f>
        <v>Zasuwn. KSR 1690/563 1V D50 PIN</v>
      </c>
      <c r="C188" s="6">
        <f>C184</f>
        <v>2116</v>
      </c>
      <c r="D188" s="6">
        <v>1601</v>
      </c>
      <c r="E188" s="6">
        <v>1800</v>
      </c>
      <c r="F188" s="16">
        <f t="shared" si="16"/>
        <v>0</v>
      </c>
      <c r="G188" s="6">
        <f t="shared" si="14"/>
        <v>0</v>
      </c>
      <c r="H188" s="6">
        <v>1</v>
      </c>
      <c r="I188" s="6">
        <f t="shared" si="15"/>
        <v>0</v>
      </c>
    </row>
    <row r="189" spans="1:10" s="6" customFormat="1" hidden="1" x14ac:dyDescent="0.25">
      <c r="A189" s="6">
        <f>SAP!A186</f>
        <v>785927</v>
      </c>
      <c r="B189" s="6" t="str">
        <f>SAP!B186</f>
        <v>Zasuwn. KSR 1890/1000 2V D50 PIN</v>
      </c>
      <c r="C189" s="6">
        <f>C184</f>
        <v>2116</v>
      </c>
      <c r="D189" s="6">
        <v>1801</v>
      </c>
      <c r="E189" s="6">
        <v>2400</v>
      </c>
      <c r="F189" s="16">
        <f t="shared" si="16"/>
        <v>1</v>
      </c>
      <c r="G189" s="6">
        <f t="shared" si="14"/>
        <v>785927</v>
      </c>
      <c r="H189" s="6">
        <v>2</v>
      </c>
      <c r="I189" s="6">
        <f t="shared" si="15"/>
        <v>2</v>
      </c>
    </row>
    <row r="190" spans="1:10" s="6" customFormat="1" hidden="1" x14ac:dyDescent="0.25">
      <c r="A190" s="6">
        <f>SAP!A187</f>
        <v>785929</v>
      </c>
      <c r="B190" s="6" t="str">
        <f>SAP!B187</f>
        <v>Zasuwn. KSR 2290/1000 2V D50 PIN</v>
      </c>
      <c r="C190" s="6">
        <f>C184</f>
        <v>2116</v>
      </c>
      <c r="D190" s="6">
        <v>2401</v>
      </c>
      <c r="E190" s="6">
        <v>2500</v>
      </c>
      <c r="F190" s="16">
        <f t="shared" si="16"/>
        <v>0</v>
      </c>
      <c r="G190" s="6">
        <f t="shared" si="14"/>
        <v>0</v>
      </c>
      <c r="H190" s="6">
        <v>2</v>
      </c>
      <c r="I190" s="6">
        <f t="shared" si="15"/>
        <v>0</v>
      </c>
    </row>
    <row r="191" spans="1:10" s="6" customFormat="1" hidden="1" x14ac:dyDescent="0.25">
      <c r="A191" s="6" t="s">
        <v>28</v>
      </c>
      <c r="F191" s="17">
        <f>SUM(F184:F190)</f>
        <v>1</v>
      </c>
      <c r="G191" s="11">
        <f>SUM(G184:G190)</f>
        <v>785927</v>
      </c>
      <c r="I191" s="18">
        <f>SUM(I184:I190)</f>
        <v>2</v>
      </c>
    </row>
    <row r="192" spans="1:10" s="6" customFormat="1" hidden="1" x14ac:dyDescent="0.25">
      <c r="C192" s="11">
        <f>IF(C194=1,G191,IF(C194=2,G200))</f>
        <v>785927</v>
      </c>
      <c r="D192" s="6" t="s">
        <v>52</v>
      </c>
      <c r="E192" s="11">
        <f>IF(C194=1,I191+2,IF(C194=2,I200+2))-C113</f>
        <v>3</v>
      </c>
      <c r="J192" s="29">
        <f>IF(F194=1,G191,IF(F194=2,G200))</f>
        <v>785927</v>
      </c>
    </row>
    <row r="193" spans="1:18" s="6" customFormat="1" hidden="1" x14ac:dyDescent="0.25">
      <c r="B193" s="5" t="str">
        <f>SAP!A108</f>
        <v>Zasuwnica  bez wkładki bębenkowej</v>
      </c>
      <c r="C193" s="5"/>
      <c r="O193" s="18" t="s">
        <v>274</v>
      </c>
      <c r="P193" s="18" t="s">
        <v>275</v>
      </c>
      <c r="Q193" s="18" t="s">
        <v>276</v>
      </c>
      <c r="R193" s="18" t="s">
        <v>277</v>
      </c>
    </row>
    <row r="194" spans="1:18" s="6" customFormat="1" hidden="1" x14ac:dyDescent="0.25">
      <c r="B194" s="5" t="str">
        <f>SAP!A109</f>
        <v>Zasuwnica z dodatkową wkładką bębenkową</v>
      </c>
      <c r="C194" s="11">
        <v>1</v>
      </c>
      <c r="D194" s="5" t="s">
        <v>230</v>
      </c>
      <c r="E194" s="5"/>
      <c r="F194" s="11">
        <v>1</v>
      </c>
      <c r="J194" s="6" t="b">
        <f>IF(C194=2,1)</f>
        <v>0</v>
      </c>
      <c r="K194" s="6">
        <f>IF(C93&lt;=1800,1,IF(C93&gt;=1801,0))</f>
        <v>0</v>
      </c>
      <c r="L194" s="6">
        <f>K194*J194</f>
        <v>0</v>
      </c>
      <c r="M194" s="6" t="str">
        <f>IF(L194=0,"",IF(L194=1,"Uwaga! Zasuwnica z dodatkową wkładką tylko dla FFH powyżej 1801mm"))</f>
        <v/>
      </c>
      <c r="O194" s="6">
        <v>25</v>
      </c>
      <c r="P194" s="6">
        <v>25</v>
      </c>
      <c r="Q194" s="11">
        <f>IF(O199=1,C144,IF(O199=2,C159,IF(O199=3,C210,IF(O199=4,C175,IF(O199=5,C192)))))</f>
        <v>785927</v>
      </c>
      <c r="R194" s="11">
        <f>IF(P199=1,J144,IF(P199=2,J159,IF(P199=3,J210,IF(P199=4,J175,IF(P199=5,J192)))))</f>
        <v>785927</v>
      </c>
    </row>
    <row r="195" spans="1:18" s="6" customFormat="1" hidden="1" x14ac:dyDescent="0.25">
      <c r="C195" s="6" t="s">
        <v>3</v>
      </c>
      <c r="D195" s="6" t="s">
        <v>1</v>
      </c>
      <c r="E195" s="6" t="s">
        <v>2</v>
      </c>
      <c r="F195" s="16" t="s">
        <v>4</v>
      </c>
      <c r="G195" s="6" t="s">
        <v>5</v>
      </c>
      <c r="H195" s="6" t="s">
        <v>6</v>
      </c>
      <c r="O195" s="6">
        <v>30</v>
      </c>
      <c r="P195" s="6">
        <v>30</v>
      </c>
    </row>
    <row r="196" spans="1:18" s="6" customFormat="1" hidden="1" x14ac:dyDescent="0.25">
      <c r="A196" s="6">
        <v>798218</v>
      </c>
      <c r="B196" s="6" t="str">
        <f>VLOOKUP(A196,SAP!1:1048576,2,FALSE)</f>
        <v>Zasuwn. KSR +PZ 1890/1000 2V D50 PIN</v>
      </c>
      <c r="C196" s="6">
        <f>C93</f>
        <v>2116</v>
      </c>
      <c r="D196" s="6">
        <v>1801</v>
      </c>
      <c r="E196" s="6">
        <v>2000</v>
      </c>
      <c r="F196" s="16">
        <f>IF(C196&lt;D196,0,IF(C196&lt;=E196,1,IF(C196&gt;E196,0)))</f>
        <v>0</v>
      </c>
      <c r="G196" s="6">
        <f>A196*F196</f>
        <v>0</v>
      </c>
      <c r="H196" s="6">
        <v>2</v>
      </c>
      <c r="I196" s="6">
        <f>F196*H196</f>
        <v>0</v>
      </c>
      <c r="O196" s="6">
        <v>35</v>
      </c>
      <c r="P196" s="6">
        <v>35</v>
      </c>
    </row>
    <row r="197" spans="1:18" s="6" customFormat="1" hidden="1" x14ac:dyDescent="0.25">
      <c r="A197" s="6">
        <v>798218</v>
      </c>
      <c r="B197" s="6" t="str">
        <f>VLOOKUP(A197,SAP!1:1048576,2,FALSE)</f>
        <v>Zasuwn. KSR +PZ 1890/1000 2V D50 PIN</v>
      </c>
      <c r="C197" s="6">
        <f>C196</f>
        <v>2116</v>
      </c>
      <c r="D197" s="6">
        <v>2001</v>
      </c>
      <c r="E197" s="6">
        <v>2200</v>
      </c>
      <c r="F197" s="16">
        <f>IF(C197&lt;D197,0,IF(C197&lt;=E197,1,IF(C197&gt;E197,0)))</f>
        <v>1</v>
      </c>
      <c r="G197" s="6">
        <f>A197*F197</f>
        <v>798218</v>
      </c>
      <c r="H197" s="6">
        <v>2</v>
      </c>
      <c r="I197" s="6">
        <f>F197*H197</f>
        <v>2</v>
      </c>
      <c r="O197" s="6">
        <v>40</v>
      </c>
      <c r="P197" s="6">
        <v>40</v>
      </c>
    </row>
    <row r="198" spans="1:18" s="6" customFormat="1" hidden="1" x14ac:dyDescent="0.25">
      <c r="A198" s="6">
        <v>798218</v>
      </c>
      <c r="B198" s="6" t="str">
        <f>VLOOKUP(A198,SAP!1:1048576,2,FALSE)</f>
        <v>Zasuwn. KSR +PZ 1890/1000 2V D50 PIN</v>
      </c>
      <c r="C198" s="6">
        <f>C196</f>
        <v>2116</v>
      </c>
      <c r="D198" s="6">
        <v>2201</v>
      </c>
      <c r="E198" s="6">
        <v>2400</v>
      </c>
      <c r="F198" s="16">
        <f>IF(C198&lt;D198,0,IF(C198&lt;=E198,1,IF(C198&gt;E198,0)))</f>
        <v>0</v>
      </c>
      <c r="G198" s="6">
        <f>A198*F198</f>
        <v>0</v>
      </c>
      <c r="H198" s="6">
        <v>2</v>
      </c>
      <c r="I198" s="6">
        <f>F198*H198</f>
        <v>0</v>
      </c>
      <c r="O198" s="6">
        <v>50</v>
      </c>
      <c r="P198" s="6">
        <v>50</v>
      </c>
    </row>
    <row r="199" spans="1:18" s="6" customFormat="1" hidden="1" x14ac:dyDescent="0.25">
      <c r="A199" s="6">
        <v>798219</v>
      </c>
      <c r="B199" s="6" t="str">
        <f>VLOOKUP(A199,SAP!1:1048576,2,FALSE)</f>
        <v>Zasuwn. KSR +PZ 2290/1000 2V D50 PIN</v>
      </c>
      <c r="C199" s="6">
        <f>C196</f>
        <v>2116</v>
      </c>
      <c r="D199" s="6">
        <v>2401</v>
      </c>
      <c r="E199" s="6">
        <v>2500</v>
      </c>
      <c r="F199" s="16">
        <f>IF(C199&lt;D199,0,IF(C199&lt;=E199,1,IF(C199&gt;E199,0)))</f>
        <v>0</v>
      </c>
      <c r="G199" s="6">
        <f>A199*F199</f>
        <v>0</v>
      </c>
      <c r="H199" s="6">
        <v>2</v>
      </c>
      <c r="I199" s="6">
        <f>F199*H199</f>
        <v>0</v>
      </c>
      <c r="O199" s="11">
        <v>5</v>
      </c>
      <c r="P199" s="11">
        <v>5</v>
      </c>
    </row>
    <row r="200" spans="1:18" s="6" customFormat="1" hidden="1" x14ac:dyDescent="0.25">
      <c r="A200" s="6" t="s">
        <v>27</v>
      </c>
      <c r="F200" s="17">
        <f>SUM(F196:F199)</f>
        <v>1</v>
      </c>
      <c r="G200" s="11">
        <f>SUM(G196:G199)</f>
        <v>798218</v>
      </c>
      <c r="I200" s="18">
        <f>SUM(I196:I199)</f>
        <v>2</v>
      </c>
    </row>
    <row r="201" spans="1:18" s="6" customFormat="1" hidden="1" x14ac:dyDescent="0.25">
      <c r="C201" s="6" t="s">
        <v>3</v>
      </c>
      <c r="D201" s="6" t="s">
        <v>1</v>
      </c>
      <c r="E201" s="6" t="s">
        <v>2</v>
      </c>
      <c r="F201" s="16" t="s">
        <v>4</v>
      </c>
      <c r="G201" s="6" t="s">
        <v>5</v>
      </c>
      <c r="H201" s="6" t="s">
        <v>6</v>
      </c>
    </row>
    <row r="202" spans="1:18" s="6" customFormat="1" hidden="1" x14ac:dyDescent="0.25">
      <c r="A202" s="6">
        <v>799045</v>
      </c>
      <c r="B202" s="6" t="s">
        <v>210</v>
      </c>
      <c r="C202" s="6">
        <f>C93</f>
        <v>2116</v>
      </c>
      <c r="D202" s="6">
        <v>590</v>
      </c>
      <c r="E202" s="6">
        <v>800</v>
      </c>
      <c r="F202" s="16">
        <f>IF(C202&lt;D202,0,IF(C202&lt;=E202,1,IF(C202&gt;E202,0)))</f>
        <v>0</v>
      </c>
      <c r="G202" s="6">
        <f t="shared" ref="G202:G208" si="17">A202*F202</f>
        <v>0</v>
      </c>
      <c r="H202" s="6">
        <v>0</v>
      </c>
      <c r="I202" s="6">
        <f t="shared" ref="I202:I208" si="18">F202*H202</f>
        <v>0</v>
      </c>
    </row>
    <row r="203" spans="1:18" s="6" customFormat="1" hidden="1" x14ac:dyDescent="0.25">
      <c r="A203" s="6">
        <v>798027</v>
      </c>
      <c r="B203" s="6" t="s">
        <v>211</v>
      </c>
      <c r="C203" s="6">
        <f>C202</f>
        <v>2116</v>
      </c>
      <c r="D203" s="6">
        <v>801</v>
      </c>
      <c r="E203" s="6">
        <v>1000</v>
      </c>
      <c r="F203" s="16">
        <f t="shared" ref="F203:F208" si="19">IF(C203&lt;D203,0,IF(C203&lt;=E203,1,IF(C203&gt;E203,0)))</f>
        <v>0</v>
      </c>
      <c r="G203" s="6">
        <f t="shared" si="17"/>
        <v>0</v>
      </c>
      <c r="H203" s="6">
        <v>0</v>
      </c>
      <c r="I203" s="6">
        <f t="shared" si="18"/>
        <v>0</v>
      </c>
    </row>
    <row r="204" spans="1:18" s="6" customFormat="1" hidden="1" x14ac:dyDescent="0.25">
      <c r="A204" s="6">
        <v>798028</v>
      </c>
      <c r="B204" s="6" t="s">
        <v>212</v>
      </c>
      <c r="C204" s="6">
        <f>C202</f>
        <v>2116</v>
      </c>
      <c r="D204" s="6">
        <v>1001</v>
      </c>
      <c r="E204" s="6">
        <v>1200</v>
      </c>
      <c r="F204" s="16">
        <f t="shared" si="19"/>
        <v>0</v>
      </c>
      <c r="G204" s="6">
        <f t="shared" si="17"/>
        <v>0</v>
      </c>
      <c r="H204" s="6">
        <v>1</v>
      </c>
      <c r="I204" s="6">
        <f t="shared" si="18"/>
        <v>0</v>
      </c>
    </row>
    <row r="205" spans="1:18" s="6" customFormat="1" hidden="1" x14ac:dyDescent="0.25">
      <c r="A205" s="6">
        <v>798030</v>
      </c>
      <c r="B205" s="6" t="s">
        <v>213</v>
      </c>
      <c r="C205" s="6">
        <f>C202</f>
        <v>2116</v>
      </c>
      <c r="D205" s="6">
        <v>1201</v>
      </c>
      <c r="E205" s="6">
        <v>1600</v>
      </c>
      <c r="F205" s="16">
        <f t="shared" si="19"/>
        <v>0</v>
      </c>
      <c r="G205" s="6">
        <f t="shared" si="17"/>
        <v>0</v>
      </c>
      <c r="H205" s="6">
        <v>1</v>
      </c>
      <c r="I205" s="6">
        <f t="shared" si="18"/>
        <v>0</v>
      </c>
    </row>
    <row r="206" spans="1:18" s="6" customFormat="1" hidden="1" x14ac:dyDescent="0.25">
      <c r="A206" s="6">
        <v>798031</v>
      </c>
      <c r="B206" s="6" t="s">
        <v>214</v>
      </c>
      <c r="C206" s="6">
        <f>C202</f>
        <v>2116</v>
      </c>
      <c r="D206" s="6">
        <v>1601</v>
      </c>
      <c r="E206" s="6">
        <v>1800</v>
      </c>
      <c r="F206" s="16">
        <f t="shared" si="19"/>
        <v>0</v>
      </c>
      <c r="G206" s="6">
        <f t="shared" si="17"/>
        <v>0</v>
      </c>
      <c r="H206" s="6">
        <v>1</v>
      </c>
      <c r="I206" s="6">
        <f t="shared" si="18"/>
        <v>0</v>
      </c>
    </row>
    <row r="207" spans="1:18" s="6" customFormat="1" hidden="1" x14ac:dyDescent="0.25">
      <c r="A207" s="6">
        <v>798032</v>
      </c>
      <c r="B207" s="6" t="s">
        <v>215</v>
      </c>
      <c r="C207" s="6">
        <f>C202</f>
        <v>2116</v>
      </c>
      <c r="D207" s="6">
        <v>1801</v>
      </c>
      <c r="E207" s="6">
        <v>2400</v>
      </c>
      <c r="F207" s="16">
        <f t="shared" si="19"/>
        <v>1</v>
      </c>
      <c r="G207" s="6">
        <f t="shared" si="17"/>
        <v>798032</v>
      </c>
      <c r="H207" s="6">
        <v>2</v>
      </c>
      <c r="I207" s="6">
        <f t="shared" si="18"/>
        <v>2</v>
      </c>
    </row>
    <row r="208" spans="1:18" s="6" customFormat="1" hidden="1" x14ac:dyDescent="0.25">
      <c r="A208" s="6">
        <v>798033</v>
      </c>
      <c r="B208" s="6" t="s">
        <v>216</v>
      </c>
      <c r="C208" s="6">
        <f>C202</f>
        <v>2116</v>
      </c>
      <c r="D208" s="6">
        <v>2401</v>
      </c>
      <c r="E208" s="6">
        <v>2500</v>
      </c>
      <c r="F208" s="16">
        <f t="shared" si="19"/>
        <v>0</v>
      </c>
      <c r="G208" s="6">
        <f t="shared" si="17"/>
        <v>0</v>
      </c>
      <c r="H208" s="6">
        <v>2</v>
      </c>
      <c r="I208" s="6">
        <f t="shared" si="18"/>
        <v>0</v>
      </c>
    </row>
    <row r="209" spans="1:10" s="6" customFormat="1" hidden="1" x14ac:dyDescent="0.25">
      <c r="F209" s="17">
        <f>SUM(F202:F208)</f>
        <v>1</v>
      </c>
      <c r="G209" s="11">
        <f>SUM(G202:G208)</f>
        <v>798032</v>
      </c>
      <c r="I209" s="18">
        <f>SUM(I202:I208)</f>
        <v>2</v>
      </c>
    </row>
    <row r="210" spans="1:10" s="6" customFormat="1" hidden="1" x14ac:dyDescent="0.25">
      <c r="C210" s="11">
        <f>IF(C194=1,G209,IF(C194=2,G218))</f>
        <v>798032</v>
      </c>
      <c r="D210" s="6" t="s">
        <v>52</v>
      </c>
      <c r="E210" s="11"/>
      <c r="J210" s="11">
        <f>IF(F194=1,G209,IF(F194=2,G218))</f>
        <v>798032</v>
      </c>
    </row>
    <row r="211" spans="1:10" s="6" customFormat="1" hidden="1" x14ac:dyDescent="0.25">
      <c r="C211" s="5"/>
    </row>
    <row r="212" spans="1:10" s="6" customFormat="1" hidden="1" x14ac:dyDescent="0.25">
      <c r="C212" s="11"/>
    </row>
    <row r="213" spans="1:10" s="6" customFormat="1" hidden="1" x14ac:dyDescent="0.25">
      <c r="C213" s="6" t="s">
        <v>3</v>
      </c>
      <c r="D213" s="6" t="s">
        <v>1</v>
      </c>
      <c r="E213" s="6" t="s">
        <v>2</v>
      </c>
      <c r="F213" s="16" t="s">
        <v>4</v>
      </c>
      <c r="G213" s="6" t="s">
        <v>5</v>
      </c>
      <c r="H213" s="6" t="s">
        <v>6</v>
      </c>
    </row>
    <row r="214" spans="1:10" s="6" customFormat="1" hidden="1" x14ac:dyDescent="0.25">
      <c r="A214" s="6">
        <v>798034</v>
      </c>
      <c r="B214" s="6" t="s">
        <v>217</v>
      </c>
      <c r="C214" s="6">
        <f>C93</f>
        <v>2116</v>
      </c>
      <c r="D214" s="6">
        <v>1801</v>
      </c>
      <c r="E214" s="6">
        <v>2000</v>
      </c>
      <c r="F214" s="16">
        <f>IF(C214&lt;D214,0,IF(C214&lt;=E214,1,IF(C214&gt;E214,0)))</f>
        <v>0</v>
      </c>
      <c r="G214" s="6">
        <f>A214*F214</f>
        <v>0</v>
      </c>
      <c r="H214" s="6">
        <v>2</v>
      </c>
      <c r="I214" s="6">
        <f>F214*H214</f>
        <v>0</v>
      </c>
    </row>
    <row r="215" spans="1:10" s="6" customFormat="1" hidden="1" x14ac:dyDescent="0.25">
      <c r="A215" s="6">
        <v>798034</v>
      </c>
      <c r="B215" s="6" t="s">
        <v>217</v>
      </c>
      <c r="C215" s="6">
        <f>C214</f>
        <v>2116</v>
      </c>
      <c r="D215" s="6">
        <v>2001</v>
      </c>
      <c r="E215" s="6">
        <v>2200</v>
      </c>
      <c r="F215" s="16">
        <f>IF(C215&lt;D215,0,IF(C215&lt;=E215,1,IF(C215&gt;E215,0)))</f>
        <v>1</v>
      </c>
      <c r="G215" s="6">
        <f>A217*F215</f>
        <v>798055</v>
      </c>
      <c r="H215" s="6">
        <v>2</v>
      </c>
      <c r="I215" s="6">
        <f>F215*H215</f>
        <v>2</v>
      </c>
    </row>
    <row r="216" spans="1:10" s="6" customFormat="1" hidden="1" x14ac:dyDescent="0.25">
      <c r="A216" s="6">
        <v>798034</v>
      </c>
      <c r="B216" s="6" t="s">
        <v>217</v>
      </c>
      <c r="C216" s="6">
        <f>C214</f>
        <v>2116</v>
      </c>
      <c r="D216" s="6">
        <v>2201</v>
      </c>
      <c r="E216" s="6">
        <v>2400</v>
      </c>
      <c r="F216" s="16">
        <f>IF(C216&lt;D216,0,IF(C216&lt;=E216,1,IF(C216&gt;E216,0)))</f>
        <v>0</v>
      </c>
      <c r="G216" s="6">
        <f>A216*F216</f>
        <v>0</v>
      </c>
      <c r="H216" s="6">
        <v>2</v>
      </c>
      <c r="I216" s="6">
        <f>F216*H216</f>
        <v>0</v>
      </c>
    </row>
    <row r="217" spans="1:10" s="6" customFormat="1" hidden="1" x14ac:dyDescent="0.25">
      <c r="A217" s="6">
        <v>798055</v>
      </c>
      <c r="B217" s="6" t="s">
        <v>218</v>
      </c>
      <c r="C217" s="6">
        <f>C214</f>
        <v>2116</v>
      </c>
      <c r="D217" s="6">
        <v>2401</v>
      </c>
      <c r="E217" s="6">
        <v>2500</v>
      </c>
      <c r="F217" s="16">
        <f>IF(C217&lt;D217,0,IF(C217&lt;=E217,1,IF(C217&gt;E217,0)))</f>
        <v>0</v>
      </c>
      <c r="G217" s="6">
        <f>A217*F217</f>
        <v>0</v>
      </c>
      <c r="H217" s="6">
        <v>2</v>
      </c>
      <c r="I217" s="6">
        <f>F217*H217</f>
        <v>0</v>
      </c>
    </row>
    <row r="218" spans="1:10" s="6" customFormat="1" hidden="1" x14ac:dyDescent="0.25">
      <c r="F218" s="17">
        <f>SUM(F214:F217)</f>
        <v>1</v>
      </c>
      <c r="G218" s="11">
        <f>SUM(G214:G217)</f>
        <v>798055</v>
      </c>
      <c r="I218" s="18">
        <f>SUM(I214:I217)</f>
        <v>2</v>
      </c>
    </row>
    <row r="219" spans="1:10" s="6" customFormat="1" hidden="1" x14ac:dyDescent="0.25">
      <c r="I219" s="19"/>
    </row>
    <row r="220" spans="1:10" s="6" customFormat="1" hidden="1" x14ac:dyDescent="0.25">
      <c r="I220" s="19"/>
    </row>
    <row r="221" spans="1:10" s="6" customFormat="1" hidden="1" x14ac:dyDescent="0.25">
      <c r="I221" s="19"/>
    </row>
    <row r="222" spans="1:10" s="6" customFormat="1" hidden="1" x14ac:dyDescent="0.25">
      <c r="I222" s="19"/>
    </row>
    <row r="223" spans="1:10" s="6" customFormat="1" hidden="1" x14ac:dyDescent="0.25">
      <c r="I223" s="19"/>
    </row>
    <row r="224" spans="1:10" s="6" customFormat="1" hidden="1" x14ac:dyDescent="0.25">
      <c r="C224" s="6" t="s">
        <v>3</v>
      </c>
      <c r="D224" s="6" t="s">
        <v>1</v>
      </c>
      <c r="E224" s="6" t="s">
        <v>2</v>
      </c>
      <c r="F224" s="16" t="s">
        <v>4</v>
      </c>
      <c r="G224" s="6" t="s">
        <v>5</v>
      </c>
      <c r="I224" s="19"/>
    </row>
    <row r="225" spans="1:21" s="6" customFormat="1" hidden="1" x14ac:dyDescent="0.25">
      <c r="A225" s="6">
        <v>308267</v>
      </c>
      <c r="B225" s="6" t="str">
        <f>VLOOKUP(A225,SAP!1:1048576,2,FALSE)</f>
        <v>Zamkn. środ. 200 łącz NTi</v>
      </c>
      <c r="C225" s="6">
        <f>C93</f>
        <v>2116</v>
      </c>
      <c r="D225" s="6">
        <v>1401</v>
      </c>
      <c r="E225" s="6">
        <v>1600</v>
      </c>
      <c r="F225" s="16">
        <f>IF(C225&lt;D225,0,IF(C225&lt;=E225,1,IF(C225&gt;E225,0)))</f>
        <v>0</v>
      </c>
      <c r="G225" s="6">
        <f>A225*F225</f>
        <v>0</v>
      </c>
      <c r="I225" s="19"/>
    </row>
    <row r="226" spans="1:21" s="6" customFormat="1" hidden="1" x14ac:dyDescent="0.25">
      <c r="A226" s="6">
        <v>308267</v>
      </c>
      <c r="B226" s="6" t="str">
        <f>VLOOKUP(A226,'Schemat A'!1:1048576,2,FALSE)</f>
        <v>Zamkn. środ. 200 łącz NTi</v>
      </c>
      <c r="C226" s="6">
        <f>C93</f>
        <v>2116</v>
      </c>
      <c r="D226" s="6">
        <v>2001</v>
      </c>
      <c r="E226" s="6">
        <v>2200</v>
      </c>
      <c r="F226" s="16">
        <f>IF(C226&lt;D226,0,IF(C226&lt;=E226,1,IF(C226&gt;E226,0)))</f>
        <v>1</v>
      </c>
      <c r="G226" s="6">
        <f t="shared" ref="G226:G228" si="20">A226*F226</f>
        <v>308267</v>
      </c>
      <c r="I226" s="19"/>
    </row>
    <row r="227" spans="1:21" s="6" customFormat="1" hidden="1" x14ac:dyDescent="0.25">
      <c r="A227" s="6">
        <v>297858</v>
      </c>
      <c r="B227" s="6" t="str">
        <f>VLOOKUP(A227,SAP!1:1048576,2,FALSE)</f>
        <v>Przedłużka zasuwn. NT MV400 bez zaczepu</v>
      </c>
      <c r="C227" s="6">
        <f>C93</f>
        <v>2116</v>
      </c>
      <c r="D227" s="6">
        <v>2201</v>
      </c>
      <c r="E227" s="6">
        <v>2400</v>
      </c>
      <c r="F227" s="16">
        <f>IF(C227&lt;D227,0,IF(C227&lt;=E227,1,IF(C227&gt;E227,0)))</f>
        <v>0</v>
      </c>
      <c r="G227" s="6">
        <f t="shared" si="20"/>
        <v>0</v>
      </c>
      <c r="I227" s="19"/>
    </row>
    <row r="228" spans="1:21" s="6" customFormat="1" hidden="1" x14ac:dyDescent="0.25">
      <c r="A228" s="6">
        <v>308267</v>
      </c>
      <c r="B228" s="6" t="str">
        <f>VLOOKUP(A228,SAP!1:1048576,2,FALSE)</f>
        <v>Zamkn. środ. 200 łącz NTi</v>
      </c>
      <c r="C228" s="6">
        <f>C93</f>
        <v>2116</v>
      </c>
      <c r="D228" s="6">
        <v>2401</v>
      </c>
      <c r="E228" s="6">
        <v>2500</v>
      </c>
      <c r="F228" s="16">
        <f>IF(C228&lt;D228,0,IF(C228&lt;=E228,1,IF(C228&gt;E228,0)))</f>
        <v>0</v>
      </c>
      <c r="G228" s="6">
        <f t="shared" si="20"/>
        <v>0</v>
      </c>
      <c r="I228" s="19"/>
    </row>
    <row r="229" spans="1:21" s="6" customFormat="1" hidden="1" x14ac:dyDescent="0.25">
      <c r="F229" s="17">
        <f>SUM(F225:F228)</f>
        <v>1</v>
      </c>
      <c r="G229" s="11">
        <f>SUM(G225:G228)</f>
        <v>308267</v>
      </c>
      <c r="I229" s="19"/>
    </row>
    <row r="230" spans="1:21" s="6" customFormat="1" hidden="1" x14ac:dyDescent="0.25">
      <c r="I230" s="19"/>
    </row>
    <row r="231" spans="1:21" s="6" customFormat="1" hidden="1" x14ac:dyDescent="0.25">
      <c r="C231" s="6" t="s">
        <v>0</v>
      </c>
      <c r="D231" s="6" t="s">
        <v>1</v>
      </c>
      <c r="E231" s="6" t="s">
        <v>2</v>
      </c>
      <c r="F231" s="16" t="s">
        <v>4</v>
      </c>
      <c r="G231" s="6" t="s">
        <v>5</v>
      </c>
      <c r="H231" s="6" t="s">
        <v>6</v>
      </c>
    </row>
    <row r="232" spans="1:21" s="6" customFormat="1" hidden="1" x14ac:dyDescent="0.25">
      <c r="A232" s="6">
        <v>572665</v>
      </c>
      <c r="B232" s="6" t="str">
        <f>VLOOKUP(A232,SAP!1:1048576,2,FALSE)</f>
        <v>Łącznik M 344 1V NT</v>
      </c>
      <c r="C232" s="6">
        <f>D93</f>
        <v>1196</v>
      </c>
      <c r="D232" s="6">
        <v>710</v>
      </c>
      <c r="E232" s="6">
        <v>760</v>
      </c>
      <c r="F232" s="16">
        <f>IF(C232&lt;D232,0,IF(C232&lt;=E232,1,IF(C232&gt;E232,0)))</f>
        <v>0</v>
      </c>
      <c r="G232" s="6">
        <f t="shared" ref="G232:G237" si="21">A232*F232</f>
        <v>0</v>
      </c>
      <c r="H232" s="6">
        <v>1</v>
      </c>
      <c r="I232" s="6">
        <f t="shared" ref="I232:I237" si="22">H232*F232</f>
        <v>0</v>
      </c>
    </row>
    <row r="233" spans="1:21" s="6" customFormat="1" hidden="1" x14ac:dyDescent="0.25">
      <c r="A233" s="6">
        <v>245729</v>
      </c>
      <c r="B233" s="6" t="str">
        <f>VLOOKUP(A233,SAP!1:1048576,2,FALSE)</f>
        <v>Zamkn.śr.okien łuk. NT 501-700</v>
      </c>
      <c r="C233" s="6">
        <f>C232</f>
        <v>1196</v>
      </c>
      <c r="D233" s="6">
        <v>761</v>
      </c>
      <c r="E233" s="6">
        <v>860</v>
      </c>
      <c r="F233" s="16">
        <f t="shared" ref="F233:F237" si="23">IF(C233&lt;D233,0,IF(C233&lt;=E233,1,IF(C233&gt;E233,0)))</f>
        <v>0</v>
      </c>
      <c r="G233" s="6">
        <f t="shared" si="21"/>
        <v>0</v>
      </c>
      <c r="H233" s="6">
        <v>0</v>
      </c>
      <c r="I233" s="6">
        <f t="shared" si="22"/>
        <v>0</v>
      </c>
    </row>
    <row r="234" spans="1:21" s="6" customFormat="1" hidden="1" x14ac:dyDescent="0.25">
      <c r="A234" s="6">
        <v>603442</v>
      </c>
      <c r="B234" s="6" t="str">
        <f>VLOOKUP(A234,SAP!1:1048576,2,FALSE)</f>
        <v>Zamk. środkowe góra 600-800 NT ALV</v>
      </c>
      <c r="C234" s="6">
        <f>C233</f>
        <v>1196</v>
      </c>
      <c r="D234" s="6">
        <v>861</v>
      </c>
      <c r="E234" s="6">
        <v>1060</v>
      </c>
      <c r="F234" s="16">
        <f t="shared" si="23"/>
        <v>0</v>
      </c>
      <c r="G234" s="6">
        <f t="shared" si="21"/>
        <v>0</v>
      </c>
      <c r="H234" s="6">
        <v>0</v>
      </c>
      <c r="I234" s="6">
        <f t="shared" si="22"/>
        <v>0</v>
      </c>
    </row>
    <row r="235" spans="1:21" s="6" customFormat="1" hidden="1" x14ac:dyDescent="0.25">
      <c r="A235" s="6">
        <v>603444</v>
      </c>
      <c r="B235" s="6" t="str">
        <f>VLOOKUP(A235,SAP!1:1048576,2,FALSE)</f>
        <v>Zamk. środkowe góra 801-1000 NT ALV</v>
      </c>
      <c r="C235" s="6">
        <f t="shared" ref="C235:C237" si="24">C234</f>
        <v>1196</v>
      </c>
      <c r="D235" s="6">
        <v>1061</v>
      </c>
      <c r="E235" s="6">
        <v>1260</v>
      </c>
      <c r="F235" s="16">
        <f t="shared" si="23"/>
        <v>1</v>
      </c>
      <c r="G235" s="6">
        <f t="shared" si="21"/>
        <v>603444</v>
      </c>
      <c r="H235" s="6">
        <v>1</v>
      </c>
      <c r="I235" s="6">
        <f t="shared" si="22"/>
        <v>1</v>
      </c>
    </row>
    <row r="236" spans="1:21" s="6" customFormat="1" hidden="1" x14ac:dyDescent="0.25">
      <c r="A236" s="6">
        <v>603447</v>
      </c>
      <c r="B236" s="6" t="str">
        <f>VLOOKUP(A236,SAP!1:1048576,2,FALSE)</f>
        <v>Zamk. środkowe góra 1001-1200 NT ALV</v>
      </c>
      <c r="C236" s="6">
        <f t="shared" si="24"/>
        <v>1196</v>
      </c>
      <c r="D236" s="6">
        <v>1261</v>
      </c>
      <c r="E236" s="6">
        <v>1460</v>
      </c>
      <c r="F236" s="16">
        <f t="shared" si="23"/>
        <v>0</v>
      </c>
      <c r="G236" s="6">
        <f t="shared" si="21"/>
        <v>0</v>
      </c>
      <c r="H236" s="6">
        <v>1</v>
      </c>
      <c r="I236" s="6">
        <f t="shared" si="22"/>
        <v>0</v>
      </c>
    </row>
    <row r="237" spans="1:21" s="6" customFormat="1" hidden="1" x14ac:dyDescent="0.25">
      <c r="A237" s="6">
        <v>603462</v>
      </c>
      <c r="B237" s="6" t="str">
        <f>VLOOKUP(A237,SAP!1:1048576,2,FALSE)</f>
        <v>Zamk. środkowe góra 1201-1400 NT ALV</v>
      </c>
      <c r="C237" s="6">
        <f t="shared" si="24"/>
        <v>1196</v>
      </c>
      <c r="D237" s="6">
        <v>1461</v>
      </c>
      <c r="E237" s="6">
        <v>1500</v>
      </c>
      <c r="F237" s="16">
        <f t="shared" si="23"/>
        <v>0</v>
      </c>
      <c r="G237" s="6">
        <f t="shared" si="21"/>
        <v>0</v>
      </c>
      <c r="H237" s="6">
        <v>1</v>
      </c>
      <c r="I237" s="6">
        <f t="shared" si="22"/>
        <v>0</v>
      </c>
    </row>
    <row r="238" spans="1:21" s="6" customFormat="1" hidden="1" x14ac:dyDescent="0.25">
      <c r="A238" s="6" t="s">
        <v>27</v>
      </c>
      <c r="F238" s="17">
        <f>SUM(F232:F237)</f>
        <v>1</v>
      </c>
      <c r="G238" s="20">
        <f>SUM(G232:G237)</f>
        <v>603444</v>
      </c>
      <c r="I238" s="21">
        <f>SUM(I232:I237)</f>
        <v>1</v>
      </c>
    </row>
    <row r="239" spans="1:21" s="6" customFormat="1" hidden="1" x14ac:dyDescent="0.25"/>
    <row r="240" spans="1:21" s="6" customFormat="1" hidden="1" x14ac:dyDescent="0.25">
      <c r="A240" s="18"/>
      <c r="B240" s="18"/>
      <c r="C240" s="18" t="s">
        <v>3</v>
      </c>
      <c r="D240" s="18" t="s">
        <v>1</v>
      </c>
      <c r="E240" s="18" t="s">
        <v>2</v>
      </c>
      <c r="F240" s="22" t="s">
        <v>4</v>
      </c>
      <c r="G240" s="18" t="s">
        <v>5</v>
      </c>
      <c r="H240" s="18" t="s">
        <v>6</v>
      </c>
      <c r="I240" s="18"/>
      <c r="J240" s="18" t="s">
        <v>1</v>
      </c>
      <c r="K240" s="18" t="s">
        <v>2</v>
      </c>
      <c r="L240" s="22" t="s">
        <v>4</v>
      </c>
      <c r="M240" s="18" t="s">
        <v>5</v>
      </c>
      <c r="N240" s="18" t="s">
        <v>6</v>
      </c>
      <c r="O240" s="18"/>
      <c r="P240" s="18" t="s">
        <v>1</v>
      </c>
      <c r="Q240" s="18" t="s">
        <v>2</v>
      </c>
      <c r="R240" s="22" t="s">
        <v>4</v>
      </c>
      <c r="S240" s="18" t="s">
        <v>5</v>
      </c>
      <c r="T240" s="18" t="s">
        <v>6</v>
      </c>
      <c r="U240" s="18"/>
    </row>
    <row r="241" spans="1:21" s="6" customFormat="1" hidden="1" x14ac:dyDescent="0.25">
      <c r="A241" s="18">
        <v>255281</v>
      </c>
      <c r="B241" s="18" t="str">
        <f>VLOOKUP(A241,SAP!1:1048576,2,FALSE)</f>
        <v>Zamkn. środkowe 1E NT MV600</v>
      </c>
      <c r="C241" s="18">
        <f>C93</f>
        <v>2116</v>
      </c>
      <c r="D241" s="18">
        <v>1201</v>
      </c>
      <c r="E241" s="18">
        <v>2500</v>
      </c>
      <c r="F241" s="22">
        <f>IF(C241&lt;D241,0,IF(C241&lt;=E241,1,IF(C241&gt;E241,0,IF(C241&lt;=2500,2))))</f>
        <v>1</v>
      </c>
      <c r="G241" s="18">
        <f>A241*F241</f>
        <v>255281</v>
      </c>
      <c r="H241" s="18">
        <v>1</v>
      </c>
      <c r="I241" s="18">
        <f>F241*H241</f>
        <v>1</v>
      </c>
      <c r="J241" s="18"/>
      <c r="K241" s="18"/>
      <c r="L241" s="22"/>
      <c r="M241" s="18"/>
      <c r="N241" s="18"/>
      <c r="O241" s="18"/>
      <c r="P241" s="18"/>
      <c r="Q241" s="18"/>
      <c r="R241" s="22"/>
      <c r="S241" s="18"/>
      <c r="T241" s="18"/>
      <c r="U241" s="18"/>
    </row>
    <row r="242" spans="1:21" s="6" customFormat="1" hidden="1" x14ac:dyDescent="0.25">
      <c r="A242" s="18">
        <v>308267</v>
      </c>
      <c r="B242" s="18" t="str">
        <f>VLOOKUP(A242,SAP!1:1048576,2,FALSE)</f>
        <v>Zamkn. środ. 200 łącz NTi</v>
      </c>
      <c r="C242" s="18">
        <f>C241</f>
        <v>2116</v>
      </c>
      <c r="D242" s="18">
        <v>1801</v>
      </c>
      <c r="E242" s="18">
        <v>2000</v>
      </c>
      <c r="F242" s="22"/>
      <c r="G242" s="18"/>
      <c r="H242" s="18">
        <v>0</v>
      </c>
      <c r="I242" s="18"/>
      <c r="J242" s="18">
        <v>1801</v>
      </c>
      <c r="K242" s="18">
        <v>2000</v>
      </c>
      <c r="L242" s="22">
        <f>IF(C241&lt;J242,0,IF(C241&lt;=K242,1,IF(C241&gt;K242,0)))</f>
        <v>0</v>
      </c>
      <c r="M242" s="18">
        <f>L242*A242</f>
        <v>0</v>
      </c>
      <c r="N242" s="18">
        <v>0</v>
      </c>
      <c r="O242" s="18">
        <v>0</v>
      </c>
      <c r="P242" s="18">
        <v>2401</v>
      </c>
      <c r="Q242" s="18">
        <v>2500</v>
      </c>
      <c r="R242" s="22">
        <f>IF(C242&lt;P242,0,IF(C242&lt;=Q242,2,IF(C242&gt;Q242,0)))</f>
        <v>0</v>
      </c>
      <c r="S242" s="18">
        <f>R242*A242/2</f>
        <v>0</v>
      </c>
      <c r="T242" s="18">
        <v>0</v>
      </c>
      <c r="U242" s="18">
        <v>0</v>
      </c>
    </row>
    <row r="243" spans="1:21" s="6" customFormat="1" hidden="1" x14ac:dyDescent="0.25">
      <c r="A243" s="18">
        <v>297858</v>
      </c>
      <c r="B243" s="18" t="str">
        <f>VLOOKUP(A243,SAP!1:1048576,2,FALSE)</f>
        <v>Przedłużka zasuwn. NT MV400 bez zaczepu</v>
      </c>
      <c r="C243" s="18">
        <f>C241</f>
        <v>2116</v>
      </c>
      <c r="D243" s="18">
        <v>1801</v>
      </c>
      <c r="E243" s="18">
        <v>2000</v>
      </c>
      <c r="F243" s="22"/>
      <c r="G243" s="18"/>
      <c r="H243" s="18">
        <v>0</v>
      </c>
      <c r="I243" s="18"/>
      <c r="J243" s="18">
        <v>2001</v>
      </c>
      <c r="K243" s="18">
        <v>2400</v>
      </c>
      <c r="L243" s="22">
        <f>IF(C243&lt;J243,0,IF(C243&lt;=K243,1,IF(C243&gt;K243,0)))</f>
        <v>1</v>
      </c>
      <c r="M243" s="18">
        <f>L243*A243</f>
        <v>297858</v>
      </c>
      <c r="N243" s="18">
        <v>0</v>
      </c>
      <c r="O243" s="18">
        <v>0</v>
      </c>
      <c r="P243" s="18"/>
      <c r="Q243" s="18"/>
      <c r="R243" s="22"/>
      <c r="S243" s="18"/>
      <c r="T243" s="18"/>
      <c r="U243" s="18"/>
    </row>
    <row r="244" spans="1:21" s="6" customFormat="1" hidden="1" x14ac:dyDescent="0.25">
      <c r="A244" s="18">
        <v>450821</v>
      </c>
      <c r="B244" s="18" t="str">
        <f>VLOOKUP(A244,SAP!1:1048576,2,FALSE)</f>
        <v>Zamkn. środ. 200/E łącz NT</v>
      </c>
      <c r="C244" s="18">
        <f>C241</f>
        <v>2116</v>
      </c>
      <c r="D244" s="18">
        <v>2001</v>
      </c>
      <c r="E244" s="18">
        <v>2200</v>
      </c>
      <c r="F244" s="22"/>
      <c r="G244" s="18"/>
      <c r="H244" s="18">
        <v>1</v>
      </c>
      <c r="I244" s="18"/>
      <c r="J244" s="18"/>
      <c r="K244" s="18"/>
      <c r="L244" s="22"/>
      <c r="M244" s="18"/>
      <c r="N244" s="18"/>
      <c r="O244" s="18"/>
      <c r="P244" s="18">
        <v>2201</v>
      </c>
      <c r="Q244" s="18">
        <v>2400</v>
      </c>
      <c r="R244" s="22">
        <f>IF(C244&lt;P244,0,IF(C244&lt;=Q244,1,IF(C244&gt;Q244,0)))</f>
        <v>0</v>
      </c>
      <c r="S244" s="18">
        <f>R244*A244</f>
        <v>0</v>
      </c>
      <c r="T244" s="18">
        <v>1</v>
      </c>
      <c r="U244" s="18">
        <f>T244*R244</f>
        <v>0</v>
      </c>
    </row>
    <row r="245" spans="1:21" s="6" customFormat="1" hidden="1" x14ac:dyDescent="0.25">
      <c r="A245" s="18">
        <v>255282</v>
      </c>
      <c r="B245" s="18" t="str">
        <f>VLOOKUP(A245,SAP!1:1048576,2,FALSE)</f>
        <v>Zamkn. środkowe 1E NT MV600 łączone</v>
      </c>
      <c r="C245" s="18">
        <f>C241</f>
        <v>2116</v>
      </c>
      <c r="D245" s="18">
        <v>2201</v>
      </c>
      <c r="E245" s="18">
        <v>2500</v>
      </c>
      <c r="F245" s="22"/>
      <c r="G245" s="18"/>
      <c r="H245" s="18">
        <v>1</v>
      </c>
      <c r="I245" s="18"/>
      <c r="J245" s="18">
        <v>2401</v>
      </c>
      <c r="K245" s="18">
        <v>2500</v>
      </c>
      <c r="L245" s="22">
        <f>IF(C245&lt;J245,0,IF(C245&lt;=K245,1,IF(C245&gt;K245,0)))</f>
        <v>0</v>
      </c>
      <c r="M245" s="18">
        <f>L245*A245</f>
        <v>0</v>
      </c>
      <c r="N245" s="18">
        <v>1</v>
      </c>
      <c r="O245" s="18">
        <f>N245*L245</f>
        <v>0</v>
      </c>
      <c r="P245" s="18"/>
      <c r="Q245" s="18"/>
      <c r="R245" s="22"/>
      <c r="S245" s="18"/>
      <c r="T245" s="18"/>
      <c r="U245" s="18"/>
    </row>
    <row r="246" spans="1:21" s="6" customFormat="1" hidden="1" x14ac:dyDescent="0.25">
      <c r="F246" s="17">
        <f>SUM(F241:F245)</f>
        <v>1</v>
      </c>
      <c r="G246" s="23">
        <f>SUM(G241:G245)</f>
        <v>255281</v>
      </c>
      <c r="I246" s="24">
        <f>SUM(I241:I245)</f>
        <v>1</v>
      </c>
      <c r="L246" s="25">
        <f>SUM(L241:L245)</f>
        <v>1</v>
      </c>
      <c r="M246" s="23">
        <f>SUM(M242:M245)</f>
        <v>297858</v>
      </c>
      <c r="O246" s="26">
        <f>SUM(O242:O245)</f>
        <v>0</v>
      </c>
      <c r="P246" s="19"/>
      <c r="Q246" s="19"/>
      <c r="R246" s="27">
        <f>SUM(R241:R245)</f>
        <v>0</v>
      </c>
      <c r="S246" s="23">
        <f>SUM(S242:S245)</f>
        <v>0</v>
      </c>
      <c r="T246" s="19"/>
      <c r="U246" s="26">
        <f>SUM(U242:U245)</f>
        <v>0</v>
      </c>
    </row>
    <row r="247" spans="1:21" s="6" customFormat="1" hidden="1" x14ac:dyDescent="0.25"/>
    <row r="248" spans="1:21" s="6" customFormat="1" hidden="1" x14ac:dyDescent="0.25">
      <c r="A248" s="6">
        <v>260272</v>
      </c>
      <c r="B248" s="6" t="str">
        <f>VLOOKUP(A248,SAP!1:1048576,2,FALSE)</f>
        <v>Narożnik Ku/r NT/1V</v>
      </c>
      <c r="C248" s="11">
        <v>2</v>
      </c>
      <c r="Q248" s="6" t="s">
        <v>43</v>
      </c>
      <c r="R248" s="11">
        <f>SUM(I246,O246,U246)+2</f>
        <v>3</v>
      </c>
    </row>
    <row r="249" spans="1:21" s="6" customFormat="1" hidden="1" x14ac:dyDescent="0.25">
      <c r="A249" s="6">
        <v>260275</v>
      </c>
      <c r="B249" s="6" t="str">
        <f>VLOOKUP(A249,SAP!1:1048576,2,FALSE)</f>
        <v>Narożnik NT/1E</v>
      </c>
      <c r="C249" s="11">
        <v>2</v>
      </c>
    </row>
    <row r="250" spans="1:21" s="6" customFormat="1" hidden="1" x14ac:dyDescent="0.25"/>
    <row r="251" spans="1:21" s="6" customFormat="1" hidden="1" x14ac:dyDescent="0.25"/>
    <row r="252" spans="1:21" s="6" customFormat="1" hidden="1" x14ac:dyDescent="0.25"/>
    <row r="253" spans="1:21" s="6" customFormat="1" hidden="1" x14ac:dyDescent="0.25">
      <c r="C253" s="5" t="str">
        <f>SAP!A64</f>
        <v>Lewe --&gt;</v>
      </c>
    </row>
    <row r="254" spans="1:21" s="6" customFormat="1" hidden="1" x14ac:dyDescent="0.25">
      <c r="C254" s="5" t="str">
        <f>SAP!A65</f>
        <v>Prawe &lt;--</v>
      </c>
    </row>
    <row r="255" spans="1:21" s="6" customFormat="1" hidden="1" x14ac:dyDescent="0.25">
      <c r="C255" s="6" t="s">
        <v>32</v>
      </c>
      <c r="D255" s="6" t="s">
        <v>4</v>
      </c>
      <c r="E255" s="6" t="s">
        <v>31</v>
      </c>
    </row>
    <row r="256" spans="1:21" s="6" customFormat="1" hidden="1" x14ac:dyDescent="0.25">
      <c r="A256" s="6">
        <v>762909</v>
      </c>
      <c r="B256" s="6" t="str">
        <f>VLOOKUP(A256,SAP!1:1048576,2,FALSE)</f>
        <v>Wózek 8 41 L PIN</v>
      </c>
    </row>
    <row r="257" spans="1:4" s="6" customFormat="1" hidden="1" x14ac:dyDescent="0.25">
      <c r="A257" s="6">
        <v>762910</v>
      </c>
      <c r="B257" s="6" t="str">
        <f>VLOOKUP(A257,SAP!1:1048576,2,FALSE)</f>
        <v>Wózek 8 41 R PIN</v>
      </c>
    </row>
    <row r="258" spans="1:4" s="6" customFormat="1" hidden="1" x14ac:dyDescent="0.25">
      <c r="A258" s="28">
        <v>797726</v>
      </c>
      <c r="B258" s="5" t="str">
        <f>VLOOKUP(A258,SAP!1:1048576,2,FALSE)</f>
        <v xml:space="preserve">Wózek DR 8 41 L PIN </v>
      </c>
      <c r="C258" s="5" t="s">
        <v>77</v>
      </c>
    </row>
    <row r="259" spans="1:4" s="6" customFormat="1" hidden="1" x14ac:dyDescent="0.25">
      <c r="A259" s="28">
        <v>797727</v>
      </c>
      <c r="B259" s="5" t="str">
        <f>VLOOKUP(A259,SAP!1:1048576,2,FALSE)</f>
        <v xml:space="preserve">Wózek DR 8 41 R PIN </v>
      </c>
      <c r="C259" s="5" t="s">
        <v>77</v>
      </c>
    </row>
    <row r="260" spans="1:4" s="6" customFormat="1" hidden="1" x14ac:dyDescent="0.25">
      <c r="C260" s="29">
        <v>1</v>
      </c>
      <c r="D260" s="6" t="s">
        <v>85</v>
      </c>
    </row>
    <row r="261" spans="1:4" s="6" customFormat="1" hidden="1" x14ac:dyDescent="0.25">
      <c r="A261" s="6">
        <v>762911</v>
      </c>
      <c r="B261" s="6" t="str">
        <f>VLOOKUP(A261,SAP!1:1048576,2,FALSE)</f>
        <v>Jednostka ster. 8 41 L PIN</v>
      </c>
    </row>
    <row r="262" spans="1:4" s="6" customFormat="1" hidden="1" x14ac:dyDescent="0.25">
      <c r="A262" s="6">
        <v>762912</v>
      </c>
      <c r="B262" s="6" t="str">
        <f>VLOOKUP(A262,SAP!1:1048576,2,FALSE)</f>
        <v>Jednostka ster. 8 41 R PIN</v>
      </c>
    </row>
    <row r="263" spans="1:4" s="6" customFormat="1" hidden="1" x14ac:dyDescent="0.25">
      <c r="A263" s="5">
        <v>797728</v>
      </c>
      <c r="B263" s="5" t="str">
        <f>VLOOKUP(A263,SAP!1:1048576,2,FALSE)</f>
        <v>Jednostka ster. DR 8 41 L PIN</v>
      </c>
      <c r="C263" s="5" t="s">
        <v>77</v>
      </c>
    </row>
    <row r="264" spans="1:4" s="6" customFormat="1" hidden="1" x14ac:dyDescent="0.25">
      <c r="A264" s="5">
        <v>797729</v>
      </c>
      <c r="B264" s="5" t="str">
        <f>VLOOKUP(A264,SAP!1:1048576,2,FALSE)</f>
        <v>Jednostka ster. DR 8 41 R PIN</v>
      </c>
      <c r="C264" s="5" t="s">
        <v>77</v>
      </c>
    </row>
    <row r="265" spans="1:4" s="6" customFormat="1" hidden="1" x14ac:dyDescent="0.25"/>
    <row r="266" spans="1:4" s="6" customFormat="1" hidden="1" x14ac:dyDescent="0.25">
      <c r="A266" s="6">
        <v>762913</v>
      </c>
      <c r="B266" s="6" t="str">
        <f>VLOOKUP(A266,SAP!1:1048576,2,FALSE)</f>
        <v>Docisk środkowy 8 41 L PIN</v>
      </c>
      <c r="C266" s="11">
        <f>IF(C93&lt;=2200,R248,IF(C93&lt;=2400,R248-1,IF(C93&gt;2400,R248)))</f>
        <v>3</v>
      </c>
      <c r="D266" s="6" t="s">
        <v>86</v>
      </c>
    </row>
    <row r="267" spans="1:4" s="6" customFormat="1" hidden="1" x14ac:dyDescent="0.25">
      <c r="A267" s="6">
        <v>762914</v>
      </c>
      <c r="B267" s="6" t="str">
        <f>VLOOKUP(A267,SAP!1:1048576,2,FALSE)</f>
        <v>Docisk środkowy 8 41 R PIN</v>
      </c>
    </row>
    <row r="268" spans="1:4" s="6" customFormat="1" hidden="1" x14ac:dyDescent="0.25">
      <c r="A268" s="5">
        <v>797730</v>
      </c>
      <c r="B268" s="5" t="str">
        <f>VLOOKUP(A268,SAP!1:1048576,2,FALSE)</f>
        <v>Docisk środkowy DR 8 41 L PIN</v>
      </c>
      <c r="C268" s="5" t="s">
        <v>77</v>
      </c>
    </row>
    <row r="269" spans="1:4" s="6" customFormat="1" hidden="1" x14ac:dyDescent="0.25">
      <c r="A269" s="5">
        <v>797732</v>
      </c>
      <c r="B269" s="5" t="str">
        <f>VLOOKUP(A269,SAP!1:1048576,2,FALSE)</f>
        <v>Docisk środkowy DR 8 41 R PIN</v>
      </c>
      <c r="C269" s="5" t="s">
        <v>77</v>
      </c>
    </row>
    <row r="270" spans="1:4" s="6" customFormat="1" hidden="1" x14ac:dyDescent="0.25"/>
    <row r="271" spans="1:4" s="6" customFormat="1" hidden="1" x14ac:dyDescent="0.25">
      <c r="A271" s="6">
        <v>764350</v>
      </c>
      <c r="B271" s="6" t="str">
        <f>VLOOKUP(A271,SAP!1:1048576,2,FALSE)</f>
        <v>Zamkn. środkowe 1E NTN MV130 łączone</v>
      </c>
      <c r="C271" s="6">
        <v>6</v>
      </c>
    </row>
    <row r="272" spans="1:4" s="6" customFormat="1" hidden="1" x14ac:dyDescent="0.25"/>
    <row r="273" spans="1:4" s="6" customFormat="1" hidden="1" x14ac:dyDescent="0.25">
      <c r="A273" s="5">
        <v>771375</v>
      </c>
      <c r="B273" s="5" t="str">
        <f>VLOOKUP(A273,SAP!1:1048576,2,FALSE)</f>
        <v>Trzpień docisku środkowego 34.4 PIN Holz</v>
      </c>
      <c r="C273" s="11">
        <f>IF(C93&lt;=2200,R248,IF(C93&lt;=2400,R248-1,IF(C93&gt;2400,R248)))</f>
        <v>3</v>
      </c>
    </row>
    <row r="274" spans="1:4" s="6" customFormat="1" hidden="1" x14ac:dyDescent="0.25">
      <c r="A274" s="6">
        <v>809614</v>
      </c>
      <c r="B274" s="6" t="str">
        <f>VLOOKUP(A274,SAP!1:1048576,2,FALSE)</f>
        <v>Trzpień docisku środkowego 38.4 PIN Gealan</v>
      </c>
    </row>
    <row r="275" spans="1:4" s="6" customFormat="1" hidden="1" x14ac:dyDescent="0.25">
      <c r="A275" s="6">
        <v>809612</v>
      </c>
      <c r="B275" s="6" t="str">
        <f>VLOOKUP(A275,SAP!1:1048576,2,FALSE)</f>
        <v>Trzpień docisku środkowego 32.8 PIN Aluplast</v>
      </c>
    </row>
    <row r="276" spans="1:4" s="6" customFormat="1" hidden="1" x14ac:dyDescent="0.25"/>
    <row r="277" spans="1:4" s="6" customFormat="1" hidden="1" x14ac:dyDescent="0.25"/>
    <row r="278" spans="1:4" s="6" customFormat="1" hidden="1" x14ac:dyDescent="0.25">
      <c r="A278" s="6">
        <v>793493</v>
      </c>
      <c r="B278" s="6" t="str">
        <f>VLOOKUP(A278,SAP!1:1048576,2,FALSE)</f>
        <v>Zaczep docisku MV-SEB</v>
      </c>
      <c r="C278" s="11">
        <f>IF(C93&lt;=2200,R248,IF(C93&lt;=2400,R248-1,IF(C93&gt;2400,R248)))</f>
        <v>3</v>
      </c>
      <c r="D278" s="6" t="s">
        <v>49</v>
      </c>
    </row>
    <row r="279" spans="1:4" s="6" customFormat="1" hidden="1" x14ac:dyDescent="0.25">
      <c r="A279" s="5">
        <v>798223</v>
      </c>
      <c r="B279" s="5" t="str">
        <f>VLOOKUP(A279,SAP!1:1048576,2,FALSE)</f>
        <v>Zaczep docisku MV-SEB Holz</v>
      </c>
      <c r="C279" s="5"/>
      <c r="D279" s="5" t="s">
        <v>50</v>
      </c>
    </row>
    <row r="280" spans="1:4" s="6" customFormat="1" hidden="1" x14ac:dyDescent="0.25"/>
    <row r="281" spans="1:4" s="6" customFormat="1" hidden="1" x14ac:dyDescent="0.25">
      <c r="A281" s="6">
        <v>798225</v>
      </c>
      <c r="B281" s="6" t="str">
        <f>VLOOKUP(A281,SAP!1:1048576,2,FALSE)</f>
        <v>Zaczep p-wywBlok.bł.obsługiDr/PVC12.2PIN</v>
      </c>
      <c r="C281" s="6">
        <f>IF(C93&lt;1000,0,IF(C93&gt;=1001,1))</f>
        <v>1</v>
      </c>
    </row>
    <row r="282" spans="1:4" s="6" customFormat="1" hidden="1" x14ac:dyDescent="0.25">
      <c r="A282" s="6">
        <v>788175</v>
      </c>
      <c r="B282" s="6" t="str">
        <f>VLOOKUP(A282,SAP!1:1048576,2,FALSE)</f>
        <v>Zaczep blok.bł.obsługi drewno/PVC12.2PIN</v>
      </c>
    </row>
    <row r="283" spans="1:4" s="6" customFormat="1" hidden="1" x14ac:dyDescent="0.25"/>
    <row r="284" spans="1:4" s="6" customFormat="1" hidden="1" x14ac:dyDescent="0.25">
      <c r="A284" s="6">
        <v>0</v>
      </c>
      <c r="B284" s="6" t="s">
        <v>40</v>
      </c>
    </row>
    <row r="285" spans="1:4" s="6" customFormat="1" hidden="1" x14ac:dyDescent="0.25"/>
    <row r="286" spans="1:4" s="6" customFormat="1" hidden="1" x14ac:dyDescent="0.25">
      <c r="A286" s="6">
        <v>806824</v>
      </c>
      <c r="B286" s="6" t="str">
        <f>VLOOKUP(A286,SAP!1:1048576,2,FALSE)</f>
        <v>Zaczep p-wyw drewno/PVC Schemat C 15,7 P</v>
      </c>
    </row>
    <row r="287" spans="1:4" s="6" customFormat="1" hidden="1" x14ac:dyDescent="0.25">
      <c r="A287" s="5">
        <v>798224</v>
      </c>
      <c r="B287" s="5" t="str">
        <f>VLOOKUP(A287,SAP!1:1048576,2,FALSE)</f>
        <v>Zaczep p-wyw drewno L</v>
      </c>
      <c r="C287" s="5" t="s">
        <v>77</v>
      </c>
    </row>
    <row r="288" spans="1:4" s="6" customFormat="1" hidden="1" x14ac:dyDescent="0.25">
      <c r="A288" s="5">
        <v>798245</v>
      </c>
      <c r="B288" s="5" t="str">
        <f>VLOOKUP(A288,SAP!1:1048576,2,FALSE)</f>
        <v>Zaczep p-wyw drewno R</v>
      </c>
      <c r="C288" s="5" t="s">
        <v>77</v>
      </c>
    </row>
    <row r="289" spans="1:5" s="6" customFormat="1" hidden="1" x14ac:dyDescent="0.25">
      <c r="A289" s="30"/>
      <c r="B289" s="30"/>
      <c r="C289" s="30"/>
    </row>
    <row r="290" spans="1:5" s="6" customFormat="1" hidden="1" x14ac:dyDescent="0.25">
      <c r="A290" s="6">
        <v>635307</v>
      </c>
      <c r="B290" s="6" t="str">
        <f>VLOOKUP(A290,SAP!1:1048576,2,FALSE)</f>
        <v>Zderzak 14 PIN</v>
      </c>
    </row>
    <row r="291" spans="1:5" s="6" customFormat="1" hidden="1" x14ac:dyDescent="0.25"/>
    <row r="292" spans="1:5" s="6" customFormat="1" hidden="1" x14ac:dyDescent="0.25">
      <c r="A292" s="6">
        <v>635183</v>
      </c>
      <c r="B292" s="6" t="str">
        <f>VLOOKUP(A292,SAP!1:1048576,2,FALSE)</f>
        <v>Odbojnik gumowy 21x8 RAL9005 Inowa</v>
      </c>
    </row>
    <row r="293" spans="1:5" s="6" customFormat="1" hidden="1" x14ac:dyDescent="0.25">
      <c r="A293" s="5">
        <v>798249</v>
      </c>
      <c r="B293" s="5" t="str">
        <f>VLOOKUP(A293,SAP!1:1048576,2,FALSE)</f>
        <v>Odbojnik gumowy 21X11.5 RAL 9005 Holz</v>
      </c>
      <c r="C293" s="5" t="s">
        <v>77</v>
      </c>
    </row>
    <row r="294" spans="1:5" s="6" customFormat="1" hidden="1" x14ac:dyDescent="0.25"/>
    <row r="295" spans="1:5" s="6" customFormat="1" hidden="1" x14ac:dyDescent="0.25">
      <c r="A295" s="98">
        <v>819632</v>
      </c>
      <c r="B295" s="6" t="str">
        <f>VLOOKUP(A295,SAP!A135:G409,2,FALSE)</f>
        <v>Osłona MB R01.1 PIN</v>
      </c>
      <c r="C295" s="6" t="str">
        <f>SAP!A102</f>
        <v>R01.1 Naturalny srebrny</v>
      </c>
      <c r="E295" s="11">
        <v>3</v>
      </c>
    </row>
    <row r="296" spans="1:5" s="6" customFormat="1" hidden="1" x14ac:dyDescent="0.25">
      <c r="A296" s="98">
        <v>819631</v>
      </c>
      <c r="B296" s="6" t="str">
        <f>VLOOKUP(A296,SAP!A135:G409,2,FALSE)</f>
        <v>Osłona MB R05.3 PIN</v>
      </c>
      <c r="C296" s="6" t="str">
        <f>SAP!A112</f>
        <v>R05.3 średni brąz</v>
      </c>
    </row>
    <row r="297" spans="1:5" s="6" customFormat="1" hidden="1" x14ac:dyDescent="0.25">
      <c r="A297" s="6">
        <v>798979</v>
      </c>
      <c r="B297" s="6" t="str">
        <f>VLOOKUP(A297,SAP!1:1048576,2,FALSE)</f>
        <v>Osłona MB R06.2 PIN</v>
      </c>
      <c r="C297" s="6" t="str">
        <f>SAP!A110</f>
        <v>R06.2 czarny</v>
      </c>
    </row>
    <row r="298" spans="1:5" s="6" customFormat="1" hidden="1" x14ac:dyDescent="0.25">
      <c r="A298" s="6">
        <v>808054</v>
      </c>
      <c r="B298" s="6" t="str">
        <f>VLOOKUP(A298,SAP!1:1048576,2,FALSE)</f>
        <v>Osłona MB R07.2 PIN</v>
      </c>
      <c r="C298" s="6" t="str">
        <f>SAP!A111</f>
        <v>R07.2 biały</v>
      </c>
    </row>
    <row r="299" spans="1:5" s="6" customFormat="1" hidden="1" x14ac:dyDescent="0.25"/>
    <row r="300" spans="1:5" s="6" customFormat="1" hidden="1" x14ac:dyDescent="0.25">
      <c r="A300" s="5">
        <f>SAP!A276</f>
        <v>807733</v>
      </c>
      <c r="B300" s="5" t="str">
        <f>VLOOKUP(A300,SAP!1:1048576,2,FALSE)</f>
        <v>Próg AL L=3,2M R01.1-1101 PIN</v>
      </c>
    </row>
    <row r="301" spans="1:5" s="6" customFormat="1" hidden="1" x14ac:dyDescent="0.25">
      <c r="A301" s="5">
        <f>SAP!A277</f>
        <v>807734</v>
      </c>
      <c r="B301" s="5" t="str">
        <f>VLOOKUP(A301,SAP!1:1048576,2,FALSE)</f>
        <v>Próg AL L=6,4M R01.1-1101 PIN</v>
      </c>
    </row>
    <row r="302" spans="1:5" s="6" customFormat="1" hidden="1" x14ac:dyDescent="0.25"/>
    <row r="303" spans="1:5" s="6" customFormat="1" hidden="1" x14ac:dyDescent="0.25">
      <c r="A303" s="6">
        <v>782921</v>
      </c>
      <c r="B303" s="6" t="str">
        <f>VLOOKUP(A303,SAP!$1:$1048576,2,FALSE)</f>
        <v>Prowadnica L=3,2M R01.1-1101 PIN</v>
      </c>
    </row>
    <row r="304" spans="1:5" s="6" customFormat="1" hidden="1" x14ac:dyDescent="0.25">
      <c r="A304" s="6">
        <v>782922</v>
      </c>
      <c r="B304" s="6" t="str">
        <f>VLOOKUP(A304,SAP!$1:$1048576,2,FALSE)</f>
        <v>Prowadnica L=6,4M R01.1-1101 PIN</v>
      </c>
    </row>
    <row r="305" spans="1:12" s="6" customFormat="1" hidden="1" x14ac:dyDescent="0.25"/>
    <row r="306" spans="1:12" s="6" customFormat="1" hidden="1" x14ac:dyDescent="0.25">
      <c r="A306" s="5">
        <f>SAP!A282</f>
        <v>473587</v>
      </c>
      <c r="B306" s="5" t="str">
        <f>VLOOKUP(A306,SAP!1:1048576,2,FALSE)</f>
        <v>Uszczelka QL-3006 2,1m BRĄZ RAL8019</v>
      </c>
    </row>
    <row r="307" spans="1:12" s="6" customFormat="1" hidden="1" x14ac:dyDescent="0.25">
      <c r="A307" s="5">
        <f>SAP!A283</f>
        <v>473588</v>
      </c>
      <c r="B307" s="5" t="str">
        <f>VLOOKUP(A307,SAP!1:1048576,2,FALSE)</f>
        <v>Uszczelka QL-7000 BRĄZ RAL8019</v>
      </c>
      <c r="H307" s="6" t="s">
        <v>233</v>
      </c>
    </row>
    <row r="308" spans="1:12" s="6" customFormat="1" hidden="1" x14ac:dyDescent="0.25">
      <c r="C308" s="6" t="s">
        <v>196</v>
      </c>
      <c r="D308" s="6" t="s">
        <v>195</v>
      </c>
      <c r="E308" s="6" t="s">
        <v>197</v>
      </c>
      <c r="H308" s="6" t="s">
        <v>196</v>
      </c>
      <c r="I308" s="6" t="s">
        <v>195</v>
      </c>
      <c r="J308" s="6" t="s">
        <v>197</v>
      </c>
    </row>
    <row r="309" spans="1:12" s="6" customFormat="1" hidden="1" x14ac:dyDescent="0.25">
      <c r="C309" s="31">
        <f>D81</f>
        <v>1</v>
      </c>
      <c r="D309" s="31">
        <f>D88</f>
        <v>3</v>
      </c>
      <c r="E309" s="31">
        <f>F89</f>
        <v>1</v>
      </c>
      <c r="H309" s="31">
        <f>J81</f>
        <v>1</v>
      </c>
      <c r="I309" s="31">
        <f>J88</f>
        <v>3</v>
      </c>
      <c r="J309" s="31">
        <f>E309</f>
        <v>1</v>
      </c>
    </row>
    <row r="310" spans="1:12" s="6" customFormat="1" hidden="1" x14ac:dyDescent="0.25">
      <c r="A310" s="6">
        <v>786362</v>
      </c>
      <c r="B310" s="6" t="str">
        <f>VLOOKUP(A310,SAP!$1:$1048576,2,FALSE)</f>
        <v>Klamka R-line 32mm 200 R01.1 ALV</v>
      </c>
      <c r="C310" s="6">
        <f>IF($C$309=1,1,IF($C$309&lt;&gt;1,0))</f>
        <v>1</v>
      </c>
      <c r="D310" s="6">
        <f>IF($D$309=1,1,IF($D$309&lt;&gt;1,0))</f>
        <v>0</v>
      </c>
      <c r="E310" s="6">
        <f>IF($E$309=1,1,IF($E$309&lt;&gt;1,0))</f>
        <v>1</v>
      </c>
      <c r="F310" s="6">
        <f>C310*D310*E310</f>
        <v>0</v>
      </c>
      <c r="G310" s="6">
        <f>F310*A310</f>
        <v>0</v>
      </c>
      <c r="H310" s="6">
        <f>IF($H$309=1,1,IF($H$309&lt;&gt;1,0))</f>
        <v>1</v>
      </c>
      <c r="I310" s="6">
        <f>IF($I$309=1,1,IF($I$309&lt;&gt;1,0))</f>
        <v>0</v>
      </c>
      <c r="J310" s="6">
        <f>IF($J$309=1,1,IF($J$309&lt;&gt;1,0))</f>
        <v>1</v>
      </c>
      <c r="K310" s="6">
        <f>H310*I310*J310</f>
        <v>0</v>
      </c>
      <c r="L310" s="6">
        <f>K310*A310</f>
        <v>0</v>
      </c>
    </row>
    <row r="311" spans="1:12" s="6" customFormat="1" hidden="1" x14ac:dyDescent="0.25">
      <c r="A311" s="6">
        <v>786669</v>
      </c>
      <c r="B311" s="6" t="str">
        <f>VLOOKUP(A311,SAP!$1:$1048576,2,FALSE)</f>
        <v>Klamka R-line 32mm 200 R01.2 ALV</v>
      </c>
      <c r="C311" s="6">
        <f t="shared" ref="C311:C342" si="25">IF($C$309=1,1,IF($C$309&lt;&gt;1,0))</f>
        <v>1</v>
      </c>
      <c r="D311" s="6">
        <f t="shared" ref="D311:D320" si="26">IF($D$309=1,1,IF($D$309&lt;&gt;1,0))</f>
        <v>0</v>
      </c>
      <c r="E311" s="6">
        <f>IF($E$309=2,1,IF($E$309&lt;&gt;2,0))</f>
        <v>0</v>
      </c>
      <c r="F311" s="6">
        <f t="shared" ref="F311:F342" si="27">C311*D311*E311</f>
        <v>0</v>
      </c>
      <c r="G311" s="6">
        <f t="shared" ref="G311:G342" si="28">F311*A311</f>
        <v>0</v>
      </c>
      <c r="H311" s="6">
        <f t="shared" ref="H311:H342" si="29">IF($H$309=1,1,IF($H$309&lt;&gt;1,0))</f>
        <v>1</v>
      </c>
      <c r="I311" s="6">
        <f t="shared" ref="I311:I320" si="30">IF($I$309=1,1,IF($I$309&lt;&gt;1,0))</f>
        <v>0</v>
      </c>
      <c r="J311" s="6">
        <f>IF($J$309=2,1,IF($J$309&lt;&gt;2,0))</f>
        <v>0</v>
      </c>
      <c r="K311" s="6">
        <f t="shared" ref="K311:K375" si="31">H311*I311*J311</f>
        <v>0</v>
      </c>
      <c r="L311" s="6">
        <f t="shared" ref="L311:L375" si="32">K311*A311</f>
        <v>0</v>
      </c>
    </row>
    <row r="312" spans="1:12" s="6" customFormat="1" hidden="1" x14ac:dyDescent="0.25">
      <c r="A312" s="6">
        <v>786670</v>
      </c>
      <c r="B312" s="6" t="str">
        <f>VLOOKUP(A312,SAP!$1:$1048576,2,FALSE)</f>
        <v>Klamka R-line 32mm 200 R01.3 ALV</v>
      </c>
      <c r="C312" s="6">
        <f t="shared" si="25"/>
        <v>1</v>
      </c>
      <c r="D312" s="6">
        <f t="shared" si="26"/>
        <v>0</v>
      </c>
      <c r="E312" s="6">
        <f>IF($E$309=3,1,IF($E$309&lt;&gt;3,0))</f>
        <v>0</v>
      </c>
      <c r="F312" s="6">
        <f t="shared" si="27"/>
        <v>0</v>
      </c>
      <c r="G312" s="6">
        <f t="shared" si="28"/>
        <v>0</v>
      </c>
      <c r="H312" s="6">
        <f t="shared" si="29"/>
        <v>1</v>
      </c>
      <c r="I312" s="6">
        <f t="shared" si="30"/>
        <v>0</v>
      </c>
      <c r="J312" s="6">
        <f>IF($J$309=3,1,IF($J$309&lt;&gt;3,0))</f>
        <v>0</v>
      </c>
      <c r="K312" s="6">
        <f t="shared" si="31"/>
        <v>0</v>
      </c>
      <c r="L312" s="6">
        <f t="shared" si="32"/>
        <v>0</v>
      </c>
    </row>
    <row r="313" spans="1:12" s="6" customFormat="1" hidden="1" x14ac:dyDescent="0.25">
      <c r="A313" s="6">
        <v>786671</v>
      </c>
      <c r="B313" s="6" t="str">
        <f>VLOOKUP(A313,SAP!$1:$1048576,2,FALSE)</f>
        <v>Klamka R-line 32mm 200 R01.5 ALV</v>
      </c>
      <c r="C313" s="6">
        <f t="shared" si="25"/>
        <v>1</v>
      </c>
      <c r="D313" s="6">
        <f t="shared" si="26"/>
        <v>0</v>
      </c>
      <c r="E313" s="6">
        <f>IF($E$309=4,1,IF($E$309&lt;&gt;4,0))</f>
        <v>0</v>
      </c>
      <c r="F313" s="6">
        <f t="shared" si="27"/>
        <v>0</v>
      </c>
      <c r="G313" s="6">
        <f t="shared" si="28"/>
        <v>0</v>
      </c>
      <c r="H313" s="6">
        <f t="shared" si="29"/>
        <v>1</v>
      </c>
      <c r="I313" s="6">
        <f t="shared" si="30"/>
        <v>0</v>
      </c>
      <c r="J313" s="6">
        <f>IF($J$309=4,1,IF($J$309&lt;&gt;4,0))</f>
        <v>0</v>
      </c>
      <c r="K313" s="6">
        <f t="shared" si="31"/>
        <v>0</v>
      </c>
      <c r="L313" s="6">
        <f t="shared" si="32"/>
        <v>0</v>
      </c>
    </row>
    <row r="314" spans="1:12" s="6" customFormat="1" hidden="1" x14ac:dyDescent="0.25">
      <c r="A314" s="6">
        <v>0</v>
      </c>
      <c r="B314" s="6" t="str">
        <f>VLOOKUP(A314,SAP!$1:$1048576,2,FALSE)</f>
        <v>__</v>
      </c>
      <c r="C314" s="6">
        <f t="shared" si="25"/>
        <v>1</v>
      </c>
      <c r="D314" s="6">
        <f t="shared" si="26"/>
        <v>0</v>
      </c>
      <c r="E314" s="6">
        <f>IF($E$309=5,1,IF($E$309&lt;&gt;5,0))</f>
        <v>0</v>
      </c>
      <c r="F314" s="6">
        <f t="shared" ref="F314" si="33">C314*D314*E314</f>
        <v>0</v>
      </c>
      <c r="G314" s="6">
        <f t="shared" ref="G314" si="34">F314*A314</f>
        <v>0</v>
      </c>
      <c r="H314" s="6">
        <f t="shared" si="29"/>
        <v>1</v>
      </c>
      <c r="I314" s="6">
        <f t="shared" si="30"/>
        <v>0</v>
      </c>
      <c r="J314" s="6">
        <f>IF($J$309=5,1,IF($J$309&lt;&gt;5,0))</f>
        <v>0</v>
      </c>
      <c r="K314" s="6">
        <f t="shared" ref="K314" si="35">H314*I314*J314</f>
        <v>0</v>
      </c>
      <c r="L314" s="6">
        <f t="shared" ref="L314" si="36">K314*A314</f>
        <v>0</v>
      </c>
    </row>
    <row r="315" spans="1:12" s="6" customFormat="1" hidden="1" x14ac:dyDescent="0.25">
      <c r="A315" s="6">
        <v>786363</v>
      </c>
      <c r="B315" s="6" t="str">
        <f>VLOOKUP(A315,SAP!$1:$1048576,2,FALSE)</f>
        <v>Klamka R-line 32mm 200 R05.3 ALV</v>
      </c>
      <c r="C315" s="6">
        <f t="shared" si="25"/>
        <v>1</v>
      </c>
      <c r="D315" s="6">
        <f t="shared" si="26"/>
        <v>0</v>
      </c>
      <c r="E315" s="6">
        <f>IF($E$309=6,1,IF($E$309&lt;&gt;6,0))</f>
        <v>0</v>
      </c>
      <c r="F315" s="6">
        <f t="shared" si="27"/>
        <v>0</v>
      </c>
      <c r="G315" s="6">
        <f t="shared" si="28"/>
        <v>0</v>
      </c>
      <c r="H315" s="6">
        <f t="shared" si="29"/>
        <v>1</v>
      </c>
      <c r="I315" s="6">
        <f t="shared" si="30"/>
        <v>0</v>
      </c>
      <c r="J315" s="6">
        <f>IF($J$309=6,1,IF($J$309&lt;&gt;6,0))</f>
        <v>0</v>
      </c>
      <c r="K315" s="6">
        <f t="shared" si="31"/>
        <v>0</v>
      </c>
      <c r="L315" s="6">
        <f t="shared" si="32"/>
        <v>0</v>
      </c>
    </row>
    <row r="316" spans="1:12" s="6" customFormat="1" hidden="1" x14ac:dyDescent="0.25">
      <c r="A316" s="6">
        <v>786364</v>
      </c>
      <c r="B316" s="6" t="str">
        <f>VLOOKUP(A316,SAP!$1:$1048576,2,FALSE)</f>
        <v>Klamka R-line 32mm 200 R05.4 ALV</v>
      </c>
      <c r="C316" s="6">
        <f t="shared" si="25"/>
        <v>1</v>
      </c>
      <c r="D316" s="6">
        <f t="shared" si="26"/>
        <v>0</v>
      </c>
      <c r="E316" s="6">
        <f>IF($E$309=7,1,IF($E$309&lt;&gt;7,0))</f>
        <v>0</v>
      </c>
      <c r="F316" s="6">
        <f t="shared" si="27"/>
        <v>0</v>
      </c>
      <c r="G316" s="6">
        <f t="shared" si="28"/>
        <v>0</v>
      </c>
      <c r="H316" s="6">
        <f t="shared" si="29"/>
        <v>1</v>
      </c>
      <c r="I316" s="6">
        <f t="shared" si="30"/>
        <v>0</v>
      </c>
      <c r="J316" s="6">
        <f>IF($J$309=7,1,IF($J$309&lt;&gt;7,0))</f>
        <v>0</v>
      </c>
      <c r="K316" s="6">
        <f t="shared" si="31"/>
        <v>0</v>
      </c>
      <c r="L316" s="6">
        <f t="shared" si="32"/>
        <v>0</v>
      </c>
    </row>
    <row r="317" spans="1:12" s="6" customFormat="1" hidden="1" x14ac:dyDescent="0.25">
      <c r="A317" s="6">
        <v>786673</v>
      </c>
      <c r="B317" s="6" t="str">
        <f>VLOOKUP(A317,SAP!$1:$1048576,2,FALSE)</f>
        <v>Klamka R-line 32mm 200 R05.5 ALV</v>
      </c>
      <c r="C317" s="6">
        <f t="shared" si="25"/>
        <v>1</v>
      </c>
      <c r="D317" s="6">
        <f t="shared" si="26"/>
        <v>0</v>
      </c>
      <c r="E317" s="6">
        <f>IF($E$309=8,1,IF($E$309&lt;&gt;8,0))</f>
        <v>0</v>
      </c>
      <c r="F317" s="6">
        <f t="shared" si="27"/>
        <v>0</v>
      </c>
      <c r="G317" s="6">
        <f t="shared" si="28"/>
        <v>0</v>
      </c>
      <c r="H317" s="6">
        <f t="shared" si="29"/>
        <v>1</v>
      </c>
      <c r="I317" s="6">
        <f t="shared" si="30"/>
        <v>0</v>
      </c>
      <c r="J317" s="6">
        <f>IF($J$309=8,1,IF($J$309&lt;&gt;8,0))</f>
        <v>0</v>
      </c>
      <c r="K317" s="6">
        <f t="shared" si="31"/>
        <v>0</v>
      </c>
      <c r="L317" s="6">
        <f t="shared" si="32"/>
        <v>0</v>
      </c>
    </row>
    <row r="318" spans="1:12" s="6" customFormat="1" hidden="1" x14ac:dyDescent="0.25">
      <c r="A318" s="6">
        <v>786674</v>
      </c>
      <c r="B318" s="6" t="str">
        <f>VLOOKUP(A318,SAP!$1:$1048576,2,FALSE)</f>
        <v>Klamka R-line 32mm 200 R06.2M ALV</v>
      </c>
      <c r="C318" s="6">
        <f t="shared" si="25"/>
        <v>1</v>
      </c>
      <c r="D318" s="6">
        <f t="shared" si="26"/>
        <v>0</v>
      </c>
      <c r="E318" s="6">
        <f>IF($E$309=9,1,IF($E$309&lt;&gt;9,0))</f>
        <v>0</v>
      </c>
      <c r="F318" s="6">
        <f t="shared" si="27"/>
        <v>0</v>
      </c>
      <c r="G318" s="6">
        <f t="shared" si="28"/>
        <v>0</v>
      </c>
      <c r="H318" s="6">
        <f t="shared" si="29"/>
        <v>1</v>
      </c>
      <c r="I318" s="6">
        <f t="shared" si="30"/>
        <v>0</v>
      </c>
      <c r="J318" s="6">
        <f>IF($J$309=9,1,IF($J$309&lt;&gt;9,0))</f>
        <v>0</v>
      </c>
      <c r="K318" s="6">
        <f t="shared" si="31"/>
        <v>0</v>
      </c>
      <c r="L318" s="6">
        <f t="shared" si="32"/>
        <v>0</v>
      </c>
    </row>
    <row r="319" spans="1:12" s="6" customFormat="1" hidden="1" x14ac:dyDescent="0.25">
      <c r="A319" s="6">
        <v>786395</v>
      </c>
      <c r="B319" s="6" t="str">
        <f>VLOOKUP(A319,SAP!$1:$1048576,2,FALSE)</f>
        <v>Klamka R-line 32mm 200 R07.2 ALV</v>
      </c>
      <c r="C319" s="6">
        <f t="shared" si="25"/>
        <v>1</v>
      </c>
      <c r="D319" s="6">
        <f t="shared" si="26"/>
        <v>0</v>
      </c>
      <c r="E319" s="6">
        <f>IF($E$309=10,1,IF($E$309&lt;&gt;10,0))</f>
        <v>0</v>
      </c>
      <c r="F319" s="6">
        <f t="shared" si="27"/>
        <v>0</v>
      </c>
      <c r="G319" s="6">
        <f t="shared" si="28"/>
        <v>0</v>
      </c>
      <c r="H319" s="6">
        <f t="shared" si="29"/>
        <v>1</v>
      </c>
      <c r="I319" s="6">
        <f t="shared" si="30"/>
        <v>0</v>
      </c>
      <c r="J319" s="6">
        <f>IF($J$309=10,1,IF($J$309&lt;&gt;10,0))</f>
        <v>0</v>
      </c>
      <c r="K319" s="6">
        <f t="shared" si="31"/>
        <v>0</v>
      </c>
      <c r="L319" s="6">
        <f t="shared" si="32"/>
        <v>0</v>
      </c>
    </row>
    <row r="320" spans="1:12" s="6" customFormat="1" hidden="1" x14ac:dyDescent="0.25">
      <c r="A320" s="6">
        <v>786717</v>
      </c>
      <c r="B320" s="6" t="str">
        <f>VLOOKUP(A320,SAP!$1:$1048576,2,FALSE)</f>
        <v>Klamka R-line 32mm 200 R07.3 ALV</v>
      </c>
      <c r="C320" s="6">
        <f t="shared" si="25"/>
        <v>1</v>
      </c>
      <c r="D320" s="6">
        <f t="shared" si="26"/>
        <v>0</v>
      </c>
      <c r="E320" s="6">
        <f>IF($E$309=11,1,IF($E$309&lt;&gt;11,0))</f>
        <v>0</v>
      </c>
      <c r="F320" s="6">
        <f t="shared" si="27"/>
        <v>0</v>
      </c>
      <c r="G320" s="6">
        <f t="shared" si="28"/>
        <v>0</v>
      </c>
      <c r="H320" s="6">
        <f t="shared" si="29"/>
        <v>1</v>
      </c>
      <c r="I320" s="6">
        <f t="shared" si="30"/>
        <v>0</v>
      </c>
      <c r="J320" s="6">
        <f>IF($J$309=11,1,IF($J$309&lt;&gt;11,0))</f>
        <v>0</v>
      </c>
      <c r="K320" s="6">
        <f t="shared" si="31"/>
        <v>0</v>
      </c>
      <c r="L320" s="6">
        <f t="shared" si="32"/>
        <v>0</v>
      </c>
    </row>
    <row r="321" spans="1:12" s="6" customFormat="1" hidden="1" x14ac:dyDescent="0.25">
      <c r="A321" s="6">
        <v>780549</v>
      </c>
      <c r="B321" s="6" t="str">
        <f>VLOOKUP(A321,SAP!$1:$1048576,2,FALSE)</f>
        <v>Klamka R-line 37mm 200 R01.1 ALV</v>
      </c>
      <c r="C321" s="6">
        <f t="shared" si="25"/>
        <v>1</v>
      </c>
      <c r="D321" s="6">
        <f>IF($D$309=2,1,IF($D$309&lt;&gt;2,0))</f>
        <v>0</v>
      </c>
      <c r="E321" s="6">
        <f>IF($E$309=1,1,IF($E$309&lt;&gt;1,0))</f>
        <v>1</v>
      </c>
      <c r="F321" s="6">
        <f t="shared" si="27"/>
        <v>0</v>
      </c>
      <c r="G321" s="6">
        <f t="shared" si="28"/>
        <v>0</v>
      </c>
      <c r="H321" s="6">
        <f t="shared" si="29"/>
        <v>1</v>
      </c>
      <c r="I321" s="6">
        <f>IF($I$309=2,1,IF($I$309&lt;&gt;2,0))</f>
        <v>0</v>
      </c>
      <c r="J321" s="6">
        <f>IF($J$309=1,1,IF($J$309&lt;&gt;1,0))</f>
        <v>1</v>
      </c>
      <c r="K321" s="6">
        <f t="shared" si="31"/>
        <v>0</v>
      </c>
      <c r="L321" s="6">
        <f t="shared" si="32"/>
        <v>0</v>
      </c>
    </row>
    <row r="322" spans="1:12" s="6" customFormat="1" hidden="1" x14ac:dyDescent="0.25">
      <c r="A322" s="6">
        <v>786517</v>
      </c>
      <c r="B322" s="6" t="str">
        <f>VLOOKUP(A322,SAP!$1:$1048576,2,FALSE)</f>
        <v>Klamka R-line 37mm 200 R01.2 ALV</v>
      </c>
      <c r="C322" s="6">
        <f t="shared" si="25"/>
        <v>1</v>
      </c>
      <c r="D322" s="6">
        <f t="shared" ref="D322:D331" si="37">IF($D$309=2,1,IF($D$309&lt;&gt;2,0))</f>
        <v>0</v>
      </c>
      <c r="E322" s="6">
        <f>IF($E$309=2,1,IF($E$309&lt;&gt;2,0))</f>
        <v>0</v>
      </c>
      <c r="F322" s="6">
        <f t="shared" si="27"/>
        <v>0</v>
      </c>
      <c r="G322" s="6">
        <f t="shared" si="28"/>
        <v>0</v>
      </c>
      <c r="H322" s="6">
        <f t="shared" si="29"/>
        <v>1</v>
      </c>
      <c r="I322" s="6">
        <f t="shared" ref="I322:I331" si="38">IF($I$309=2,1,IF($I$309&lt;&gt;2,0))</f>
        <v>0</v>
      </c>
      <c r="J322" s="6">
        <f>IF($J$309=2,1,IF($J$309&lt;&gt;2,0))</f>
        <v>0</v>
      </c>
      <c r="K322" s="6">
        <f t="shared" si="31"/>
        <v>0</v>
      </c>
      <c r="L322" s="6">
        <f t="shared" si="32"/>
        <v>0</v>
      </c>
    </row>
    <row r="323" spans="1:12" s="6" customFormat="1" hidden="1" x14ac:dyDescent="0.25">
      <c r="A323" s="6">
        <v>780552</v>
      </c>
      <c r="B323" s="6" t="str">
        <f>VLOOKUP(A323,SAP!$1:$1048576,2,FALSE)</f>
        <v>Klamka R-line 37mm 200 R01.3 ALV</v>
      </c>
      <c r="C323" s="6">
        <f t="shared" si="25"/>
        <v>1</v>
      </c>
      <c r="D323" s="6">
        <f t="shared" si="37"/>
        <v>0</v>
      </c>
      <c r="E323" s="6">
        <f>IF($E$309=3,1,IF($E$309&lt;&gt;3,0))</f>
        <v>0</v>
      </c>
      <c r="F323" s="6">
        <f t="shared" si="27"/>
        <v>0</v>
      </c>
      <c r="G323" s="6">
        <f t="shared" si="28"/>
        <v>0</v>
      </c>
      <c r="H323" s="6">
        <f t="shared" si="29"/>
        <v>1</v>
      </c>
      <c r="I323" s="6">
        <f t="shared" si="38"/>
        <v>0</v>
      </c>
      <c r="J323" s="6">
        <f>IF($J$309=3,1,IF($J$309&lt;&gt;3,0))</f>
        <v>0</v>
      </c>
      <c r="K323" s="6">
        <f t="shared" si="31"/>
        <v>0</v>
      </c>
      <c r="L323" s="6">
        <f t="shared" si="32"/>
        <v>0</v>
      </c>
    </row>
    <row r="324" spans="1:12" s="6" customFormat="1" hidden="1" x14ac:dyDescent="0.25">
      <c r="A324" s="6">
        <v>786519</v>
      </c>
      <c r="B324" s="6" t="str">
        <f>VLOOKUP(A324,SAP!$1:$1048576,2,FALSE)</f>
        <v>Klamka R-line 37mm 200 R01.5 ALV</v>
      </c>
      <c r="C324" s="6">
        <f t="shared" si="25"/>
        <v>1</v>
      </c>
      <c r="D324" s="6">
        <f t="shared" si="37"/>
        <v>0</v>
      </c>
      <c r="E324" s="6">
        <f>IF($E$309=4,1,IF($E$309&lt;&gt;4,0))</f>
        <v>0</v>
      </c>
      <c r="F324" s="6">
        <f t="shared" si="27"/>
        <v>0</v>
      </c>
      <c r="G324" s="6">
        <f t="shared" si="28"/>
        <v>0</v>
      </c>
      <c r="H324" s="6">
        <f t="shared" si="29"/>
        <v>1</v>
      </c>
      <c r="I324" s="6">
        <f t="shared" si="38"/>
        <v>0</v>
      </c>
      <c r="J324" s="6">
        <f>IF($J$309=4,1,IF($J$309&lt;&gt;4,0))</f>
        <v>0</v>
      </c>
      <c r="K324" s="6">
        <f t="shared" si="31"/>
        <v>0</v>
      </c>
      <c r="L324" s="6">
        <f t="shared" si="32"/>
        <v>0</v>
      </c>
    </row>
    <row r="325" spans="1:12" s="6" customFormat="1" hidden="1" x14ac:dyDescent="0.25">
      <c r="A325" s="6">
        <v>0</v>
      </c>
      <c r="B325" s="6" t="str">
        <f>VLOOKUP(A325,SAP!$1:$1048576,2,FALSE)</f>
        <v>__</v>
      </c>
      <c r="C325" s="6">
        <f t="shared" si="25"/>
        <v>1</v>
      </c>
      <c r="D325" s="6">
        <f t="shared" si="37"/>
        <v>0</v>
      </c>
      <c r="E325" s="6">
        <f>IF($E$309=5,1,IF($E$309&lt;&gt;5,0))</f>
        <v>0</v>
      </c>
      <c r="F325" s="6">
        <f t="shared" ref="F325" si="39">C325*D325*E325</f>
        <v>0</v>
      </c>
      <c r="G325" s="6">
        <f t="shared" ref="G325" si="40">F325*A325</f>
        <v>0</v>
      </c>
      <c r="H325" s="6">
        <f t="shared" si="29"/>
        <v>1</v>
      </c>
      <c r="I325" s="6">
        <f t="shared" si="38"/>
        <v>0</v>
      </c>
      <c r="J325" s="6">
        <f>IF($J$309=5,1,IF($J$309&lt;&gt;5,0))</f>
        <v>0</v>
      </c>
      <c r="K325" s="6">
        <f t="shared" ref="K325" si="41">H325*I325*J325</f>
        <v>0</v>
      </c>
      <c r="L325" s="6">
        <f t="shared" ref="L325" si="42">K325*A325</f>
        <v>0</v>
      </c>
    </row>
    <row r="326" spans="1:12" s="6" customFormat="1" hidden="1" x14ac:dyDescent="0.25">
      <c r="A326" s="6">
        <v>780575</v>
      </c>
      <c r="B326" s="6" t="str">
        <f>VLOOKUP(A326,SAP!$1:$1048576,2,FALSE)</f>
        <v>Klamka R-line 37mm 200 R05.3 ALV</v>
      </c>
      <c r="C326" s="6">
        <f t="shared" si="25"/>
        <v>1</v>
      </c>
      <c r="D326" s="6">
        <f t="shared" si="37"/>
        <v>0</v>
      </c>
      <c r="E326" s="6">
        <f>IF($E$309=6,1,IF($E$309&lt;&gt;6,0))</f>
        <v>0</v>
      </c>
      <c r="F326" s="6">
        <f t="shared" si="27"/>
        <v>0</v>
      </c>
      <c r="G326" s="6">
        <f t="shared" si="28"/>
        <v>0</v>
      </c>
      <c r="H326" s="6">
        <f t="shared" si="29"/>
        <v>1</v>
      </c>
      <c r="I326" s="6">
        <f t="shared" si="38"/>
        <v>0</v>
      </c>
      <c r="J326" s="6">
        <f>IF($J$309=6,1,IF($J$309&lt;&gt;6,0))</f>
        <v>0</v>
      </c>
      <c r="K326" s="6">
        <f t="shared" si="31"/>
        <v>0</v>
      </c>
      <c r="L326" s="6">
        <f t="shared" si="32"/>
        <v>0</v>
      </c>
    </row>
    <row r="327" spans="1:12" s="6" customFormat="1" hidden="1" x14ac:dyDescent="0.25">
      <c r="A327" s="6">
        <v>780576</v>
      </c>
      <c r="B327" s="6" t="str">
        <f>VLOOKUP(A327,SAP!$1:$1048576,2,FALSE)</f>
        <v>Klamka R-line 37mm 200 R05.4 ALV</v>
      </c>
      <c r="C327" s="6">
        <f t="shared" si="25"/>
        <v>1</v>
      </c>
      <c r="D327" s="6">
        <f t="shared" si="37"/>
        <v>0</v>
      </c>
      <c r="E327" s="6">
        <f>IF($E$309=7,1,IF($E$309&lt;&gt;7,0))</f>
        <v>0</v>
      </c>
      <c r="F327" s="6">
        <f t="shared" si="27"/>
        <v>0</v>
      </c>
      <c r="G327" s="6">
        <f t="shared" si="28"/>
        <v>0</v>
      </c>
      <c r="H327" s="6">
        <f t="shared" si="29"/>
        <v>1</v>
      </c>
      <c r="I327" s="6">
        <f t="shared" si="38"/>
        <v>0</v>
      </c>
      <c r="J327" s="6">
        <f>IF($J$309=7,1,IF($J$309&lt;&gt;7,0))</f>
        <v>0</v>
      </c>
      <c r="K327" s="6">
        <f t="shared" si="31"/>
        <v>0</v>
      </c>
      <c r="L327" s="6">
        <f t="shared" si="32"/>
        <v>0</v>
      </c>
    </row>
    <row r="328" spans="1:12" s="6" customFormat="1" hidden="1" x14ac:dyDescent="0.25">
      <c r="A328" s="6">
        <v>780577</v>
      </c>
      <c r="B328" s="6" t="str">
        <f>VLOOKUP(A328,SAP!$1:$1048576,2,FALSE)</f>
        <v>Klamka R-line 37mm 200 R05.5 ALV</v>
      </c>
      <c r="C328" s="6">
        <f t="shared" si="25"/>
        <v>1</v>
      </c>
      <c r="D328" s="6">
        <f t="shared" si="37"/>
        <v>0</v>
      </c>
      <c r="E328" s="6">
        <f>IF($E$309=8,1,IF($E$309&lt;&gt;8,0))</f>
        <v>0</v>
      </c>
      <c r="F328" s="6">
        <f t="shared" si="27"/>
        <v>0</v>
      </c>
      <c r="G328" s="6">
        <f t="shared" si="28"/>
        <v>0</v>
      </c>
      <c r="H328" s="6">
        <f t="shared" si="29"/>
        <v>1</v>
      </c>
      <c r="I328" s="6">
        <f t="shared" si="38"/>
        <v>0</v>
      </c>
      <c r="J328" s="6">
        <f>IF($J$309=8,1,IF($J$309&lt;&gt;8,0))</f>
        <v>0</v>
      </c>
      <c r="K328" s="6">
        <f t="shared" si="31"/>
        <v>0</v>
      </c>
      <c r="L328" s="6">
        <f t="shared" si="32"/>
        <v>0</v>
      </c>
    </row>
    <row r="329" spans="1:12" s="6" customFormat="1" hidden="1" x14ac:dyDescent="0.25">
      <c r="A329" s="6">
        <v>786715</v>
      </c>
      <c r="B329" s="6" t="str">
        <f>VLOOKUP(A329,SAP!$1:$1048576,2,FALSE)</f>
        <v>Klamka R-line 37mm 200 R06.2M ALV</v>
      </c>
      <c r="C329" s="6">
        <f t="shared" si="25"/>
        <v>1</v>
      </c>
      <c r="D329" s="6">
        <f t="shared" si="37"/>
        <v>0</v>
      </c>
      <c r="E329" s="6">
        <f>IF($E$309=9,1,IF($E$309&lt;&gt;9,0))</f>
        <v>0</v>
      </c>
      <c r="F329" s="6">
        <f t="shared" si="27"/>
        <v>0</v>
      </c>
      <c r="G329" s="6">
        <f t="shared" si="28"/>
        <v>0</v>
      </c>
      <c r="H329" s="6">
        <f t="shared" si="29"/>
        <v>1</v>
      </c>
      <c r="I329" s="6">
        <f t="shared" si="38"/>
        <v>0</v>
      </c>
      <c r="J329" s="6">
        <f>IF($J$309=9,1,IF($J$309&lt;&gt;9,0))</f>
        <v>0</v>
      </c>
      <c r="K329" s="6">
        <f t="shared" si="31"/>
        <v>0</v>
      </c>
      <c r="L329" s="6">
        <f t="shared" si="32"/>
        <v>0</v>
      </c>
    </row>
    <row r="330" spans="1:12" s="6" customFormat="1" hidden="1" x14ac:dyDescent="0.25">
      <c r="A330" s="6">
        <v>780578</v>
      </c>
      <c r="B330" s="6" t="str">
        <f>VLOOKUP(A330,SAP!$1:$1048576,2,FALSE)</f>
        <v>Klamka R-line 37mm 200 R07.2 ALV</v>
      </c>
      <c r="C330" s="6">
        <f t="shared" si="25"/>
        <v>1</v>
      </c>
      <c r="D330" s="6">
        <f t="shared" si="37"/>
        <v>0</v>
      </c>
      <c r="E330" s="6">
        <f>IF($E$309=10,1,IF($E$309&lt;&gt;10,0))</f>
        <v>0</v>
      </c>
      <c r="F330" s="6">
        <f t="shared" si="27"/>
        <v>0</v>
      </c>
      <c r="G330" s="6">
        <f t="shared" si="28"/>
        <v>0</v>
      </c>
      <c r="H330" s="6">
        <f t="shared" si="29"/>
        <v>1</v>
      </c>
      <c r="I330" s="6">
        <f t="shared" si="38"/>
        <v>0</v>
      </c>
      <c r="J330" s="6">
        <f>IF($J$309=10,1,IF($J$309&lt;&gt;10,0))</f>
        <v>0</v>
      </c>
      <c r="K330" s="6">
        <f t="shared" si="31"/>
        <v>0</v>
      </c>
      <c r="L330" s="6">
        <f t="shared" si="32"/>
        <v>0</v>
      </c>
    </row>
    <row r="331" spans="1:12" s="6" customFormat="1" hidden="1" x14ac:dyDescent="0.25">
      <c r="A331" s="6">
        <v>780579</v>
      </c>
      <c r="B331" s="6" t="str">
        <f>VLOOKUP(A331,SAP!$1:$1048576,2,FALSE)</f>
        <v>Klamka R-line 37mm 200 R07.3 ALV</v>
      </c>
      <c r="C331" s="6">
        <f t="shared" si="25"/>
        <v>1</v>
      </c>
      <c r="D331" s="6">
        <f t="shared" si="37"/>
        <v>0</v>
      </c>
      <c r="E331" s="6">
        <f>IF($E$309=11,1,IF($E$309&lt;&gt;11,0))</f>
        <v>0</v>
      </c>
      <c r="F331" s="6">
        <f t="shared" si="27"/>
        <v>0</v>
      </c>
      <c r="G331" s="6">
        <f t="shared" si="28"/>
        <v>0</v>
      </c>
      <c r="H331" s="6">
        <f t="shared" si="29"/>
        <v>1</v>
      </c>
      <c r="I331" s="6">
        <f t="shared" si="38"/>
        <v>0</v>
      </c>
      <c r="J331" s="6">
        <f>IF($J$309=11,1,IF($J$309&lt;&gt;11,0))</f>
        <v>0</v>
      </c>
      <c r="K331" s="6">
        <f t="shared" si="31"/>
        <v>0</v>
      </c>
      <c r="L331" s="6">
        <f t="shared" si="32"/>
        <v>0</v>
      </c>
    </row>
    <row r="332" spans="1:12" s="6" customFormat="1" hidden="1" x14ac:dyDescent="0.25">
      <c r="A332" s="6">
        <v>780551</v>
      </c>
      <c r="B332" s="6" t="str">
        <f>VLOOKUP(A332,SAP!$1:$1048576,2,FALSE)</f>
        <v>Klamka R-line 43mm 200 R01.1 ALV</v>
      </c>
      <c r="C332" s="6">
        <f t="shared" si="25"/>
        <v>1</v>
      </c>
      <c r="D332" s="6">
        <f>IF($D$309=3,1,IF($D$309&lt;&gt;3,0))</f>
        <v>1</v>
      </c>
      <c r="E332" s="6">
        <f>IF($E$309=1,1,IF($E$309&lt;&gt;1,0))</f>
        <v>1</v>
      </c>
      <c r="F332" s="6">
        <f t="shared" si="27"/>
        <v>1</v>
      </c>
      <c r="G332" s="6">
        <f t="shared" si="28"/>
        <v>780551</v>
      </c>
      <c r="H332" s="6">
        <f t="shared" si="29"/>
        <v>1</v>
      </c>
      <c r="I332" s="6">
        <f>IF($I$309=3,1,IF($I$309&lt;&gt;3,0))</f>
        <v>1</v>
      </c>
      <c r="J332" s="6">
        <f>IF($J$309=1,1,IF($J$309&lt;&gt;1,0))</f>
        <v>1</v>
      </c>
      <c r="K332" s="6">
        <f t="shared" si="31"/>
        <v>1</v>
      </c>
      <c r="L332" s="6">
        <f t="shared" si="32"/>
        <v>780551</v>
      </c>
    </row>
    <row r="333" spans="1:12" s="6" customFormat="1" hidden="1" x14ac:dyDescent="0.25">
      <c r="A333" s="6">
        <v>786518</v>
      </c>
      <c r="B333" s="6" t="str">
        <f>VLOOKUP(A333,SAP!$1:$1048576,2,FALSE)</f>
        <v>Klamka R-line 43mm 200 R01.2 ALV</v>
      </c>
      <c r="C333" s="6">
        <f t="shared" si="25"/>
        <v>1</v>
      </c>
      <c r="D333" s="6">
        <f t="shared" ref="D333:D342" si="43">IF($D$309=3,1,IF($D$309&lt;&gt;3,0))</f>
        <v>1</v>
      </c>
      <c r="E333" s="6">
        <f>IF($E$309=2,1,IF($E$309&lt;&gt;2,0))</f>
        <v>0</v>
      </c>
      <c r="F333" s="6">
        <f t="shared" si="27"/>
        <v>0</v>
      </c>
      <c r="G333" s="6">
        <f t="shared" si="28"/>
        <v>0</v>
      </c>
      <c r="H333" s="6">
        <f t="shared" si="29"/>
        <v>1</v>
      </c>
      <c r="I333" s="6">
        <f t="shared" ref="I333:I342" si="44">IF($I$309=3,1,IF($I$309&lt;&gt;3,0))</f>
        <v>1</v>
      </c>
      <c r="J333" s="6">
        <f>IF($J$309=2,1,IF($J$309&lt;&gt;2,0))</f>
        <v>0</v>
      </c>
      <c r="K333" s="6">
        <f t="shared" si="31"/>
        <v>0</v>
      </c>
      <c r="L333" s="6">
        <f t="shared" si="32"/>
        <v>0</v>
      </c>
    </row>
    <row r="334" spans="1:12" s="6" customFormat="1" hidden="1" x14ac:dyDescent="0.25">
      <c r="A334" s="6">
        <v>780580</v>
      </c>
      <c r="B334" s="6" t="str">
        <f>VLOOKUP(A334,SAP!$1:$1048576,2,FALSE)</f>
        <v>Klamka R-line 43mm 200 R01.3 ALV</v>
      </c>
      <c r="C334" s="6">
        <f t="shared" si="25"/>
        <v>1</v>
      </c>
      <c r="D334" s="6">
        <f t="shared" si="43"/>
        <v>1</v>
      </c>
      <c r="E334" s="6">
        <f>IF($E$309=3,1,IF($E$309&lt;&gt;3,0))</f>
        <v>0</v>
      </c>
      <c r="F334" s="6">
        <f t="shared" si="27"/>
        <v>0</v>
      </c>
      <c r="G334" s="6">
        <f t="shared" si="28"/>
        <v>0</v>
      </c>
      <c r="H334" s="6">
        <f t="shared" si="29"/>
        <v>1</v>
      </c>
      <c r="I334" s="6">
        <f t="shared" si="44"/>
        <v>1</v>
      </c>
      <c r="J334" s="6">
        <f>IF($J$309=3,1,IF($J$309&lt;&gt;3,0))</f>
        <v>0</v>
      </c>
      <c r="K334" s="6">
        <f t="shared" si="31"/>
        <v>0</v>
      </c>
      <c r="L334" s="6">
        <f t="shared" si="32"/>
        <v>0</v>
      </c>
    </row>
    <row r="335" spans="1:12" s="6" customFormat="1" hidden="1" x14ac:dyDescent="0.25">
      <c r="A335" s="6">
        <v>786672</v>
      </c>
      <c r="B335" s="6" t="str">
        <f>VLOOKUP(A335,SAP!$1:$1048576,2,FALSE)</f>
        <v>Klamka R-line 43mm 200 R01.5 ALV</v>
      </c>
      <c r="C335" s="6">
        <f t="shared" si="25"/>
        <v>1</v>
      </c>
      <c r="D335" s="6">
        <f t="shared" si="43"/>
        <v>1</v>
      </c>
      <c r="E335" s="6">
        <f>IF($E$309=4,1,IF($E$309&lt;&gt;4,0))</f>
        <v>0</v>
      </c>
      <c r="F335" s="6">
        <f t="shared" si="27"/>
        <v>0</v>
      </c>
      <c r="G335" s="6">
        <f t="shared" si="28"/>
        <v>0</v>
      </c>
      <c r="H335" s="6">
        <f t="shared" si="29"/>
        <v>1</v>
      </c>
      <c r="I335" s="6">
        <f t="shared" si="44"/>
        <v>1</v>
      </c>
      <c r="J335" s="6">
        <f>IF($J$309=4,1,IF($J$309&lt;&gt;4,0))</f>
        <v>0</v>
      </c>
      <c r="K335" s="6">
        <f t="shared" si="31"/>
        <v>0</v>
      </c>
      <c r="L335" s="6">
        <f t="shared" si="32"/>
        <v>0</v>
      </c>
    </row>
    <row r="336" spans="1:12" s="6" customFormat="1" hidden="1" x14ac:dyDescent="0.25">
      <c r="A336" s="37">
        <v>820797</v>
      </c>
      <c r="B336" s="6" t="str">
        <f>VLOOKUP(A336,SAP!$1:$1048576,2,FALSE)</f>
        <v>Klamka R-line 43mm 200 R02.2 ALV</v>
      </c>
      <c r="C336" s="6">
        <f t="shared" si="25"/>
        <v>1</v>
      </c>
      <c r="D336" s="6">
        <f t="shared" si="43"/>
        <v>1</v>
      </c>
      <c r="E336" s="6">
        <f>IF($E$309=5,1,IF($E$309&lt;&gt;5,0))</f>
        <v>0</v>
      </c>
      <c r="F336" s="6">
        <f t="shared" ref="F336" si="45">C336*D336*E336</f>
        <v>0</v>
      </c>
      <c r="G336" s="6">
        <f t="shared" ref="G336" si="46">F336*A336</f>
        <v>0</v>
      </c>
      <c r="H336" s="6">
        <f t="shared" si="29"/>
        <v>1</v>
      </c>
      <c r="I336" s="6">
        <f t="shared" si="44"/>
        <v>1</v>
      </c>
      <c r="J336" s="6">
        <f>IF($J$309=5,1,IF($J$309&lt;&gt;5,0))</f>
        <v>0</v>
      </c>
      <c r="K336" s="6">
        <f t="shared" ref="K336" si="47">H336*I336*J336</f>
        <v>0</v>
      </c>
      <c r="L336" s="6">
        <f t="shared" ref="L336" si="48">K336*A336</f>
        <v>0</v>
      </c>
    </row>
    <row r="337" spans="1:12" s="6" customFormat="1" hidden="1" x14ac:dyDescent="0.25">
      <c r="A337" s="6">
        <v>780581</v>
      </c>
      <c r="B337" s="6" t="str">
        <f>VLOOKUP(A337,SAP!$1:$1048576,2,FALSE)</f>
        <v>Klamka R-line 43mm 200 R05.3 ALV</v>
      </c>
      <c r="C337" s="6">
        <f t="shared" si="25"/>
        <v>1</v>
      </c>
      <c r="D337" s="6">
        <f t="shared" si="43"/>
        <v>1</v>
      </c>
      <c r="E337" s="6">
        <f>IF($E$309=6,1,IF($E$309&lt;&gt;6,0))</f>
        <v>0</v>
      </c>
      <c r="F337" s="6">
        <f t="shared" si="27"/>
        <v>0</v>
      </c>
      <c r="G337" s="6">
        <f t="shared" si="28"/>
        <v>0</v>
      </c>
      <c r="H337" s="6">
        <f t="shared" si="29"/>
        <v>1</v>
      </c>
      <c r="I337" s="6">
        <f t="shared" si="44"/>
        <v>1</v>
      </c>
      <c r="J337" s="6">
        <f>IF($J$309=6,1,IF($J$309&lt;&gt;6,0))</f>
        <v>0</v>
      </c>
      <c r="K337" s="6">
        <f t="shared" si="31"/>
        <v>0</v>
      </c>
      <c r="L337" s="6">
        <f t="shared" si="32"/>
        <v>0</v>
      </c>
    </row>
    <row r="338" spans="1:12" s="6" customFormat="1" hidden="1" x14ac:dyDescent="0.25">
      <c r="A338" s="6">
        <v>780582</v>
      </c>
      <c r="B338" s="6" t="str">
        <f>VLOOKUP(A338,SAP!$1:$1048576,2,FALSE)</f>
        <v>Klamka R-line 43mm 200 R05.4 ALV</v>
      </c>
      <c r="C338" s="6">
        <f t="shared" si="25"/>
        <v>1</v>
      </c>
      <c r="D338" s="6">
        <f t="shared" si="43"/>
        <v>1</v>
      </c>
      <c r="E338" s="6">
        <f>IF($E$309=7,1,IF($E$309&lt;&gt;7,0))</f>
        <v>0</v>
      </c>
      <c r="F338" s="6">
        <f t="shared" si="27"/>
        <v>0</v>
      </c>
      <c r="G338" s="6">
        <f t="shared" si="28"/>
        <v>0</v>
      </c>
      <c r="H338" s="6">
        <f t="shared" si="29"/>
        <v>1</v>
      </c>
      <c r="I338" s="6">
        <f t="shared" si="44"/>
        <v>1</v>
      </c>
      <c r="J338" s="6">
        <f>IF($J$309=7,1,IF($J$309&lt;&gt;7,0))</f>
        <v>0</v>
      </c>
      <c r="K338" s="6">
        <f t="shared" si="31"/>
        <v>0</v>
      </c>
      <c r="L338" s="6">
        <f t="shared" si="32"/>
        <v>0</v>
      </c>
    </row>
    <row r="339" spans="1:12" s="6" customFormat="1" hidden="1" x14ac:dyDescent="0.25">
      <c r="A339" s="6">
        <v>780583</v>
      </c>
      <c r="B339" s="6" t="str">
        <f>VLOOKUP(A339,SAP!$1:$1048576,2,FALSE)</f>
        <v>Klamka R-line 43mm 200 R05.5 ALV</v>
      </c>
      <c r="C339" s="6">
        <f t="shared" si="25"/>
        <v>1</v>
      </c>
      <c r="D339" s="6">
        <f t="shared" si="43"/>
        <v>1</v>
      </c>
      <c r="E339" s="6">
        <f>IF($E$309=8,1,IF($E$309&lt;&gt;8,0))</f>
        <v>0</v>
      </c>
      <c r="F339" s="6">
        <f t="shared" si="27"/>
        <v>0</v>
      </c>
      <c r="G339" s="6">
        <f t="shared" si="28"/>
        <v>0</v>
      </c>
      <c r="H339" s="6">
        <f t="shared" si="29"/>
        <v>1</v>
      </c>
      <c r="I339" s="6">
        <f t="shared" si="44"/>
        <v>1</v>
      </c>
      <c r="J339" s="6">
        <f>IF($J$309=8,1,IF($J$309&lt;&gt;8,0))</f>
        <v>0</v>
      </c>
      <c r="K339" s="6">
        <f t="shared" si="31"/>
        <v>0</v>
      </c>
      <c r="L339" s="6">
        <f t="shared" si="32"/>
        <v>0</v>
      </c>
    </row>
    <row r="340" spans="1:12" s="6" customFormat="1" hidden="1" x14ac:dyDescent="0.25">
      <c r="A340" s="6">
        <v>786716</v>
      </c>
      <c r="B340" s="6" t="str">
        <f>VLOOKUP(A340,SAP!$1:$1048576,2,FALSE)</f>
        <v>Klamka R-line 43mm 200 R06.2M ALV</v>
      </c>
      <c r="C340" s="6">
        <f t="shared" si="25"/>
        <v>1</v>
      </c>
      <c r="D340" s="6">
        <f t="shared" si="43"/>
        <v>1</v>
      </c>
      <c r="E340" s="6">
        <f>IF($E$309=9,1,IF($E$309&lt;&gt;9,0))</f>
        <v>0</v>
      </c>
      <c r="F340" s="6">
        <f t="shared" si="27"/>
        <v>0</v>
      </c>
      <c r="G340" s="6">
        <f t="shared" si="28"/>
        <v>0</v>
      </c>
      <c r="H340" s="6">
        <f t="shared" si="29"/>
        <v>1</v>
      </c>
      <c r="I340" s="6">
        <f t="shared" si="44"/>
        <v>1</v>
      </c>
      <c r="J340" s="6">
        <f>IF($J$309=9,1,IF($J$309&lt;&gt;9,0))</f>
        <v>0</v>
      </c>
      <c r="K340" s="6">
        <f t="shared" si="31"/>
        <v>0</v>
      </c>
      <c r="L340" s="6">
        <f t="shared" si="32"/>
        <v>0</v>
      </c>
    </row>
    <row r="341" spans="1:12" s="6" customFormat="1" hidden="1" x14ac:dyDescent="0.25">
      <c r="A341" s="6">
        <v>780584</v>
      </c>
      <c r="B341" s="6" t="str">
        <f>VLOOKUP(A341,SAP!$1:$1048576,2,FALSE)</f>
        <v>Klamka R-line 43mm 200 R07.2 ALV</v>
      </c>
      <c r="C341" s="6">
        <f t="shared" si="25"/>
        <v>1</v>
      </c>
      <c r="D341" s="6">
        <f t="shared" si="43"/>
        <v>1</v>
      </c>
      <c r="E341" s="6">
        <f>IF($E$309=10,1,IF($E$309&lt;&gt;10,0))</f>
        <v>0</v>
      </c>
      <c r="F341" s="6">
        <f t="shared" si="27"/>
        <v>0</v>
      </c>
      <c r="G341" s="6">
        <f t="shared" si="28"/>
        <v>0</v>
      </c>
      <c r="H341" s="6">
        <f t="shared" si="29"/>
        <v>1</v>
      </c>
      <c r="I341" s="6">
        <f t="shared" si="44"/>
        <v>1</v>
      </c>
      <c r="J341" s="6">
        <f>IF($J$309=10,1,IF($J$309&lt;&gt;10,0))</f>
        <v>0</v>
      </c>
      <c r="K341" s="6">
        <f t="shared" si="31"/>
        <v>0</v>
      </c>
      <c r="L341" s="6">
        <f t="shared" si="32"/>
        <v>0</v>
      </c>
    </row>
    <row r="342" spans="1:12" s="6" customFormat="1" hidden="1" x14ac:dyDescent="0.25">
      <c r="A342" s="6">
        <v>780585</v>
      </c>
      <c r="B342" s="6" t="str">
        <f>VLOOKUP(A342,SAP!$1:$1048576,2,FALSE)</f>
        <v>Klamka R-line 43mm 200 R07.3 ALV</v>
      </c>
      <c r="C342" s="6">
        <f t="shared" si="25"/>
        <v>1</v>
      </c>
      <c r="D342" s="6">
        <f t="shared" si="43"/>
        <v>1</v>
      </c>
      <c r="E342" s="6">
        <f>IF($E$309=11,1,IF($E$309&lt;&gt;11,0))</f>
        <v>0</v>
      </c>
      <c r="F342" s="6">
        <f t="shared" si="27"/>
        <v>0</v>
      </c>
      <c r="G342" s="6">
        <f t="shared" si="28"/>
        <v>0</v>
      </c>
      <c r="H342" s="6">
        <f t="shared" si="29"/>
        <v>1</v>
      </c>
      <c r="I342" s="6">
        <f t="shared" si="44"/>
        <v>1</v>
      </c>
      <c r="J342" s="6">
        <f>IF($J$309=11,1,IF($J$309&lt;&gt;11,0))</f>
        <v>0</v>
      </c>
      <c r="K342" s="6">
        <f t="shared" si="31"/>
        <v>0</v>
      </c>
      <c r="L342" s="6">
        <f t="shared" si="32"/>
        <v>0</v>
      </c>
    </row>
    <row r="343" spans="1:12" s="6" customFormat="1" hidden="1" x14ac:dyDescent="0.25">
      <c r="A343" s="6">
        <v>786719</v>
      </c>
      <c r="B343" s="6" t="str">
        <f>VLOOKUP(A343,SAP!$1:$1048576,2,FALSE)</f>
        <v>Klamka R-line/klucz100Nm32mm200R01.1ALV</v>
      </c>
      <c r="C343" s="6">
        <f>IF($C$309=2,1,IF($C$309&lt;&gt;2,0))</f>
        <v>0</v>
      </c>
      <c r="D343" s="6">
        <f>IF($D$309=1,1,IF($D$309&lt;&gt;1,0))</f>
        <v>0</v>
      </c>
      <c r="E343" s="6">
        <f>IF($E$309=1,1,IF($E$309&lt;&gt;1,0))</f>
        <v>1</v>
      </c>
      <c r="F343" s="6">
        <f>C343*D343*E343</f>
        <v>0</v>
      </c>
      <c r="G343" s="6">
        <f>F343*A343</f>
        <v>0</v>
      </c>
      <c r="H343" s="6">
        <f>IF($H$309=2,1,IF($H$309&lt;&gt;2,0))</f>
        <v>0</v>
      </c>
      <c r="I343" s="6">
        <f>IF($I$309=1,1,IF($I$309&lt;&gt;1,0))</f>
        <v>0</v>
      </c>
      <c r="J343" s="6">
        <f>IF($J$309=1,1,IF($J$309&lt;&gt;1,0))</f>
        <v>1</v>
      </c>
      <c r="K343" s="6">
        <f t="shared" si="31"/>
        <v>0</v>
      </c>
      <c r="L343" s="6">
        <f t="shared" si="32"/>
        <v>0</v>
      </c>
    </row>
    <row r="344" spans="1:12" s="6" customFormat="1" hidden="1" x14ac:dyDescent="0.25">
      <c r="A344" s="6">
        <v>786720</v>
      </c>
      <c r="B344" s="6" t="str">
        <f>VLOOKUP(A344,SAP!$1:$1048576,2,FALSE)</f>
        <v>Klamka R-line/klucz100Nm32mm200R01.2ALV</v>
      </c>
      <c r="C344" s="6">
        <f t="shared" ref="C344:C375" si="49">IF($C$309=2,1,IF($C$309&lt;&gt;2,0))</f>
        <v>0</v>
      </c>
      <c r="D344" s="6">
        <f t="shared" ref="D344:D353" si="50">IF($D$309=1,1,IF($D$309&lt;&gt;1,0))</f>
        <v>0</v>
      </c>
      <c r="E344" s="6">
        <f>IF($E$309=2,1,IF($E$309&lt;&gt;2,0))</f>
        <v>0</v>
      </c>
      <c r="F344" s="6">
        <f t="shared" ref="F344:F375" si="51">C344*D344*E344</f>
        <v>0</v>
      </c>
      <c r="G344" s="6">
        <f t="shared" ref="G344:G375" si="52">F344*A344</f>
        <v>0</v>
      </c>
      <c r="H344" s="6">
        <f t="shared" ref="H344:H375" si="53">IF($H$309=2,1,IF($H$309&lt;&gt;2,0))</f>
        <v>0</v>
      </c>
      <c r="I344" s="6">
        <f t="shared" ref="I344:I353" si="54">IF($I$309=1,1,IF($I$309&lt;&gt;1,0))</f>
        <v>0</v>
      </c>
      <c r="J344" s="6">
        <f>IF($J$309=2,1,IF($J$309&lt;&gt;2,0))</f>
        <v>0</v>
      </c>
      <c r="K344" s="6">
        <f t="shared" si="31"/>
        <v>0</v>
      </c>
      <c r="L344" s="6">
        <f t="shared" si="32"/>
        <v>0</v>
      </c>
    </row>
    <row r="345" spans="1:12" s="6" customFormat="1" hidden="1" x14ac:dyDescent="0.25">
      <c r="A345" s="6">
        <v>786732</v>
      </c>
      <c r="B345" s="6" t="str">
        <f>VLOOKUP(A345,SAP!$1:$1048576,2,FALSE)</f>
        <v>Klamka R-line/klucz100Nm32mm200R01.3ALV</v>
      </c>
      <c r="C345" s="6">
        <f t="shared" si="49"/>
        <v>0</v>
      </c>
      <c r="D345" s="6">
        <f t="shared" si="50"/>
        <v>0</v>
      </c>
      <c r="E345" s="6">
        <f>IF($E$309=3,1,IF($E$309&lt;&gt;3,0))</f>
        <v>0</v>
      </c>
      <c r="F345" s="6">
        <f t="shared" si="51"/>
        <v>0</v>
      </c>
      <c r="G345" s="6">
        <f t="shared" si="52"/>
        <v>0</v>
      </c>
      <c r="H345" s="6">
        <f t="shared" si="53"/>
        <v>0</v>
      </c>
      <c r="I345" s="6">
        <f t="shared" si="54"/>
        <v>0</v>
      </c>
      <c r="J345" s="6">
        <f>IF($J$309=3,1,IF($J$309&lt;&gt;3,0))</f>
        <v>0</v>
      </c>
      <c r="K345" s="6">
        <f t="shared" si="31"/>
        <v>0</v>
      </c>
      <c r="L345" s="6">
        <f t="shared" si="32"/>
        <v>0</v>
      </c>
    </row>
    <row r="346" spans="1:12" s="6" customFormat="1" hidden="1" x14ac:dyDescent="0.25">
      <c r="A346" s="6">
        <v>786733</v>
      </c>
      <c r="B346" s="6" t="str">
        <f>VLOOKUP(A346,SAP!$1:$1048576,2,FALSE)</f>
        <v>Klamka R-line/klucz100Nm32mm200R01.5ALV</v>
      </c>
      <c r="C346" s="6">
        <f t="shared" si="49"/>
        <v>0</v>
      </c>
      <c r="D346" s="6">
        <f t="shared" si="50"/>
        <v>0</v>
      </c>
      <c r="E346" s="6">
        <f>IF($E$309=4,1,IF($E$309&lt;&gt;4,0))</f>
        <v>0</v>
      </c>
      <c r="F346" s="6">
        <f t="shared" si="51"/>
        <v>0</v>
      </c>
      <c r="G346" s="6">
        <f t="shared" si="52"/>
        <v>0</v>
      </c>
      <c r="H346" s="6">
        <f t="shared" si="53"/>
        <v>0</v>
      </c>
      <c r="I346" s="6">
        <f t="shared" si="54"/>
        <v>0</v>
      </c>
      <c r="J346" s="6">
        <f>IF($J$309=4,1,IF($J$309&lt;&gt;4,0))</f>
        <v>0</v>
      </c>
      <c r="K346" s="6">
        <f t="shared" si="31"/>
        <v>0</v>
      </c>
      <c r="L346" s="6">
        <f t="shared" si="32"/>
        <v>0</v>
      </c>
    </row>
    <row r="347" spans="1:12" s="6" customFormat="1" hidden="1" x14ac:dyDescent="0.25">
      <c r="A347" s="6">
        <v>0</v>
      </c>
      <c r="B347" s="6" t="str">
        <f>VLOOKUP(A347,SAP!$1:$1048576,2,FALSE)</f>
        <v>__</v>
      </c>
      <c r="C347" s="6">
        <f t="shared" si="49"/>
        <v>0</v>
      </c>
      <c r="D347" s="6">
        <f t="shared" si="50"/>
        <v>0</v>
      </c>
      <c r="E347" s="6">
        <f>IF($E$309=5,1,IF($E$309&lt;&gt;5,0))</f>
        <v>0</v>
      </c>
      <c r="F347" s="6">
        <f t="shared" ref="F347" si="55">C347*D347*E347</f>
        <v>0</v>
      </c>
      <c r="G347" s="6">
        <f t="shared" ref="G347" si="56">F347*A347</f>
        <v>0</v>
      </c>
      <c r="H347" s="6">
        <f t="shared" si="53"/>
        <v>0</v>
      </c>
      <c r="I347" s="6">
        <f t="shared" si="54"/>
        <v>0</v>
      </c>
      <c r="J347" s="6">
        <f>IF($J$309=5,1,IF($J$309&lt;&gt;5,0))</f>
        <v>0</v>
      </c>
      <c r="K347" s="6">
        <f t="shared" ref="K347" si="57">H347*I347*J347</f>
        <v>0</v>
      </c>
      <c r="L347" s="6">
        <f t="shared" ref="L347" si="58">K347*A347</f>
        <v>0</v>
      </c>
    </row>
    <row r="348" spans="1:12" s="6" customFormat="1" hidden="1" x14ac:dyDescent="0.25">
      <c r="A348" s="6">
        <v>786397</v>
      </c>
      <c r="B348" s="6" t="str">
        <f>VLOOKUP(A348,SAP!$1:$1048576,2,FALSE)</f>
        <v>Klamka R-line/klucz100Nm32mm200R05.3ALV</v>
      </c>
      <c r="C348" s="6">
        <f t="shared" si="49"/>
        <v>0</v>
      </c>
      <c r="D348" s="6">
        <f t="shared" si="50"/>
        <v>0</v>
      </c>
      <c r="E348" s="6">
        <f>IF($E$309=6,1,IF($E$309&lt;&gt;6,0))</f>
        <v>0</v>
      </c>
      <c r="F348" s="6">
        <f t="shared" si="51"/>
        <v>0</v>
      </c>
      <c r="G348" s="6">
        <f t="shared" si="52"/>
        <v>0</v>
      </c>
      <c r="H348" s="6">
        <f t="shared" si="53"/>
        <v>0</v>
      </c>
      <c r="I348" s="6">
        <f t="shared" si="54"/>
        <v>0</v>
      </c>
      <c r="J348" s="6">
        <f>IF($J$309=6,1,IF($J$309&lt;&gt;6,0))</f>
        <v>0</v>
      </c>
      <c r="K348" s="6">
        <f t="shared" si="31"/>
        <v>0</v>
      </c>
      <c r="L348" s="6">
        <f t="shared" si="32"/>
        <v>0</v>
      </c>
    </row>
    <row r="349" spans="1:12" s="6" customFormat="1" hidden="1" x14ac:dyDescent="0.25">
      <c r="A349" s="6">
        <v>786398</v>
      </c>
      <c r="B349" s="6" t="str">
        <f>VLOOKUP(A349,SAP!$1:$1048576,2,FALSE)</f>
        <v>Klamka R-line/klucz100Nm32mm200R05.4ALV</v>
      </c>
      <c r="C349" s="6">
        <f t="shared" si="49"/>
        <v>0</v>
      </c>
      <c r="D349" s="6">
        <f t="shared" si="50"/>
        <v>0</v>
      </c>
      <c r="E349" s="6">
        <f>IF($E$309=7,1,IF($E$309&lt;&gt;7,0))</f>
        <v>0</v>
      </c>
      <c r="F349" s="6">
        <f t="shared" si="51"/>
        <v>0</v>
      </c>
      <c r="G349" s="6">
        <f t="shared" si="52"/>
        <v>0</v>
      </c>
      <c r="H349" s="6">
        <f t="shared" si="53"/>
        <v>0</v>
      </c>
      <c r="I349" s="6">
        <f t="shared" si="54"/>
        <v>0</v>
      </c>
      <c r="J349" s="6">
        <f>IF($J$309=7,1,IF($J$309&lt;&gt;7,0))</f>
        <v>0</v>
      </c>
      <c r="K349" s="6">
        <f t="shared" si="31"/>
        <v>0</v>
      </c>
      <c r="L349" s="6">
        <f t="shared" si="32"/>
        <v>0</v>
      </c>
    </row>
    <row r="350" spans="1:12" s="6" customFormat="1" hidden="1" x14ac:dyDescent="0.25">
      <c r="A350" s="6">
        <v>787000</v>
      </c>
      <c r="B350" s="6" t="str">
        <f>VLOOKUP(A350,SAP!$1:$1048576,2,FALSE)</f>
        <v>Klamka R-line/klucz100Nm32mm200R05.5ALV</v>
      </c>
      <c r="C350" s="6">
        <f t="shared" si="49"/>
        <v>0</v>
      </c>
      <c r="D350" s="6">
        <f t="shared" si="50"/>
        <v>0</v>
      </c>
      <c r="E350" s="6">
        <f>IF($E$309=8,1,IF($E$309&lt;&gt;8,0))</f>
        <v>0</v>
      </c>
      <c r="F350" s="6">
        <f t="shared" si="51"/>
        <v>0</v>
      </c>
      <c r="G350" s="6">
        <f t="shared" si="52"/>
        <v>0</v>
      </c>
      <c r="H350" s="6">
        <f t="shared" si="53"/>
        <v>0</v>
      </c>
      <c r="I350" s="6">
        <f t="shared" si="54"/>
        <v>0</v>
      </c>
      <c r="J350" s="6">
        <f>IF($J$309=8,1,IF($J$309&lt;&gt;8,0))</f>
        <v>0</v>
      </c>
      <c r="K350" s="6">
        <f t="shared" si="31"/>
        <v>0</v>
      </c>
      <c r="L350" s="6">
        <f t="shared" si="32"/>
        <v>0</v>
      </c>
    </row>
    <row r="351" spans="1:12" s="6" customFormat="1" hidden="1" x14ac:dyDescent="0.25">
      <c r="A351" s="6">
        <v>787002</v>
      </c>
      <c r="B351" s="6" t="str">
        <f>VLOOKUP(A351,SAP!$1:$1048576,2,FALSE)</f>
        <v>Klamka R-line/klucz100Nm32mm200R06.2MALV</v>
      </c>
      <c r="C351" s="6">
        <f t="shared" si="49"/>
        <v>0</v>
      </c>
      <c r="D351" s="6">
        <f t="shared" si="50"/>
        <v>0</v>
      </c>
      <c r="E351" s="6">
        <f>IF($E$309=9,1,IF($E$309&lt;&gt;9,0))</f>
        <v>0</v>
      </c>
      <c r="F351" s="6">
        <f t="shared" si="51"/>
        <v>0</v>
      </c>
      <c r="G351" s="6">
        <f t="shared" si="52"/>
        <v>0</v>
      </c>
      <c r="H351" s="6">
        <f t="shared" si="53"/>
        <v>0</v>
      </c>
      <c r="I351" s="6">
        <f t="shared" si="54"/>
        <v>0</v>
      </c>
      <c r="J351" s="6">
        <f>IF($J$309=9,1,IF($J$309&lt;&gt;9,0))</f>
        <v>0</v>
      </c>
      <c r="K351" s="6">
        <f t="shared" si="31"/>
        <v>0</v>
      </c>
      <c r="L351" s="6">
        <f t="shared" si="32"/>
        <v>0</v>
      </c>
    </row>
    <row r="352" spans="1:12" s="6" customFormat="1" hidden="1" x14ac:dyDescent="0.25">
      <c r="A352" s="6">
        <v>786399</v>
      </c>
      <c r="B352" s="6" t="str">
        <f>VLOOKUP(A352,SAP!$1:$1048576,2,FALSE)</f>
        <v>Klamka R-line/klucz100Nm32mm200R07.2ALV</v>
      </c>
      <c r="C352" s="6">
        <f t="shared" si="49"/>
        <v>0</v>
      </c>
      <c r="D352" s="6">
        <f t="shared" si="50"/>
        <v>0</v>
      </c>
      <c r="E352" s="6">
        <f>IF($E$309=10,1,IF($E$309&lt;&gt;10,0))</f>
        <v>0</v>
      </c>
      <c r="F352" s="6">
        <f t="shared" si="51"/>
        <v>0</v>
      </c>
      <c r="G352" s="6">
        <f t="shared" si="52"/>
        <v>0</v>
      </c>
      <c r="H352" s="6">
        <f t="shared" si="53"/>
        <v>0</v>
      </c>
      <c r="I352" s="6">
        <f t="shared" si="54"/>
        <v>0</v>
      </c>
      <c r="J352" s="6">
        <f>IF($J$309=10,1,IF($J$309&lt;&gt;10,0))</f>
        <v>0</v>
      </c>
      <c r="K352" s="6">
        <f t="shared" si="31"/>
        <v>0</v>
      </c>
      <c r="L352" s="6">
        <f t="shared" si="32"/>
        <v>0</v>
      </c>
    </row>
    <row r="353" spans="1:12" s="6" customFormat="1" hidden="1" x14ac:dyDescent="0.25">
      <c r="A353" s="6">
        <v>787001</v>
      </c>
      <c r="B353" s="6" t="str">
        <f>VLOOKUP(A353,SAP!$1:$1048576,2,FALSE)</f>
        <v>Klamka R-line/klucz100Nm32mm200R07.3ALV</v>
      </c>
      <c r="C353" s="6">
        <f t="shared" si="49"/>
        <v>0</v>
      </c>
      <c r="D353" s="6">
        <f t="shared" si="50"/>
        <v>0</v>
      </c>
      <c r="E353" s="6">
        <f>IF($E$309=11,1,IF($E$309&lt;&gt;11,0))</f>
        <v>0</v>
      </c>
      <c r="F353" s="6">
        <f t="shared" si="51"/>
        <v>0</v>
      </c>
      <c r="G353" s="6">
        <f t="shared" si="52"/>
        <v>0</v>
      </c>
      <c r="H353" s="6">
        <f t="shared" si="53"/>
        <v>0</v>
      </c>
      <c r="I353" s="6">
        <f t="shared" si="54"/>
        <v>0</v>
      </c>
      <c r="J353" s="6">
        <f>IF($J$309=11,1,IF($J$309&lt;&gt;11,0))</f>
        <v>0</v>
      </c>
      <c r="K353" s="6">
        <f t="shared" si="31"/>
        <v>0</v>
      </c>
      <c r="L353" s="6">
        <f t="shared" si="32"/>
        <v>0</v>
      </c>
    </row>
    <row r="354" spans="1:12" s="6" customFormat="1" hidden="1" x14ac:dyDescent="0.25">
      <c r="A354" s="6">
        <v>780586</v>
      </c>
      <c r="B354" s="6" t="str">
        <f>VLOOKUP(A354,SAP!$1:$1048576,2,FALSE)</f>
        <v>Klamka R-line/klucz100Nm37mm200R01.1ALV</v>
      </c>
      <c r="C354" s="6">
        <f t="shared" si="49"/>
        <v>0</v>
      </c>
      <c r="D354" s="6">
        <f>IF($D$309=2,1,IF($D$309&lt;&gt;2,0))</f>
        <v>0</v>
      </c>
      <c r="E354" s="6">
        <f>IF($E$309=1,1,IF($E$309&lt;&gt;1,0))</f>
        <v>1</v>
      </c>
      <c r="F354" s="6">
        <f t="shared" si="51"/>
        <v>0</v>
      </c>
      <c r="G354" s="6">
        <f t="shared" si="52"/>
        <v>0</v>
      </c>
      <c r="H354" s="6">
        <f t="shared" si="53"/>
        <v>0</v>
      </c>
      <c r="I354" s="6">
        <f>IF($I$309=2,1,IF($I$309&lt;&gt;2,0))</f>
        <v>0</v>
      </c>
      <c r="J354" s="6">
        <f>IF($J$309=1,1,IF($J$309&lt;&gt;1,0))</f>
        <v>1</v>
      </c>
      <c r="K354" s="6">
        <f t="shared" si="31"/>
        <v>0</v>
      </c>
      <c r="L354" s="6">
        <f t="shared" si="32"/>
        <v>0</v>
      </c>
    </row>
    <row r="355" spans="1:12" s="6" customFormat="1" hidden="1" x14ac:dyDescent="0.25">
      <c r="A355" s="6">
        <v>786396</v>
      </c>
      <c r="B355" s="6" t="str">
        <f>VLOOKUP(A355,SAP!$1:$1048576,2,FALSE)</f>
        <v>Klamka R-line/klucz100Nm37mm200R01.2ALV</v>
      </c>
      <c r="C355" s="6">
        <f t="shared" si="49"/>
        <v>0</v>
      </c>
      <c r="D355" s="6">
        <f t="shared" ref="D355:D364" si="59">IF($D$309=2,1,IF($D$309&lt;&gt;2,0))</f>
        <v>0</v>
      </c>
      <c r="E355" s="6">
        <f>IF($E$309=2,1,IF($E$309&lt;&gt;2,0))</f>
        <v>0</v>
      </c>
      <c r="F355" s="6">
        <f t="shared" si="51"/>
        <v>0</v>
      </c>
      <c r="G355" s="6">
        <f t="shared" si="52"/>
        <v>0</v>
      </c>
      <c r="H355" s="6">
        <f t="shared" si="53"/>
        <v>0</v>
      </c>
      <c r="I355" s="6">
        <f t="shared" ref="I355:I364" si="60">IF($I$309=2,1,IF($I$309&lt;&gt;2,0))</f>
        <v>0</v>
      </c>
      <c r="J355" s="6">
        <f>IF($J$309=2,1,IF($J$309&lt;&gt;2,0))</f>
        <v>0</v>
      </c>
      <c r="K355" s="6">
        <f t="shared" si="31"/>
        <v>0</v>
      </c>
      <c r="L355" s="6">
        <f t="shared" si="32"/>
        <v>0</v>
      </c>
    </row>
    <row r="356" spans="1:12" s="6" customFormat="1" hidden="1" x14ac:dyDescent="0.25">
      <c r="A356" s="6">
        <v>780587</v>
      </c>
      <c r="B356" s="6" t="str">
        <f>VLOOKUP(A356,SAP!$1:$1048576,2,FALSE)</f>
        <v>Klamka R-line/klucz100Nm37mm200R01.3ALV</v>
      </c>
      <c r="C356" s="6">
        <f t="shared" si="49"/>
        <v>0</v>
      </c>
      <c r="D356" s="6">
        <f t="shared" si="59"/>
        <v>0</v>
      </c>
      <c r="E356" s="6">
        <f>IF($E$309=3,1,IF($E$309&lt;&gt;3,0))</f>
        <v>0</v>
      </c>
      <c r="F356" s="6">
        <f t="shared" si="51"/>
        <v>0</v>
      </c>
      <c r="G356" s="6">
        <f t="shared" si="52"/>
        <v>0</v>
      </c>
      <c r="H356" s="6">
        <f t="shared" si="53"/>
        <v>0</v>
      </c>
      <c r="I356" s="6">
        <f t="shared" si="60"/>
        <v>0</v>
      </c>
      <c r="J356" s="6">
        <f>IF($J$309=3,1,IF($J$309&lt;&gt;3,0))</f>
        <v>0</v>
      </c>
      <c r="K356" s="6">
        <f t="shared" si="31"/>
        <v>0</v>
      </c>
      <c r="L356" s="6">
        <f t="shared" si="32"/>
        <v>0</v>
      </c>
    </row>
    <row r="357" spans="1:12" s="6" customFormat="1" hidden="1" x14ac:dyDescent="0.25">
      <c r="A357" s="6">
        <v>786734</v>
      </c>
      <c r="B357" s="6" t="str">
        <f>VLOOKUP(A357,SAP!$1:$1048576,2,FALSE)</f>
        <v>Klamka R-line/klucz100Nm37mm200R01.5ALV</v>
      </c>
      <c r="C357" s="6">
        <f t="shared" si="49"/>
        <v>0</v>
      </c>
      <c r="D357" s="6">
        <f t="shared" si="59"/>
        <v>0</v>
      </c>
      <c r="E357" s="6">
        <f>IF($E$309=4,1,IF($E$309&lt;&gt;4,0))</f>
        <v>0</v>
      </c>
      <c r="F357" s="6">
        <f t="shared" si="51"/>
        <v>0</v>
      </c>
      <c r="G357" s="6">
        <f t="shared" si="52"/>
        <v>0</v>
      </c>
      <c r="H357" s="6">
        <f t="shared" si="53"/>
        <v>0</v>
      </c>
      <c r="I357" s="6">
        <f t="shared" si="60"/>
        <v>0</v>
      </c>
      <c r="J357" s="6">
        <f>IF($J$309=4,1,IF($J$309&lt;&gt;4,0))</f>
        <v>0</v>
      </c>
      <c r="K357" s="6">
        <f t="shared" si="31"/>
        <v>0</v>
      </c>
      <c r="L357" s="6">
        <f t="shared" si="32"/>
        <v>0</v>
      </c>
    </row>
    <row r="358" spans="1:12" s="6" customFormat="1" hidden="1" x14ac:dyDescent="0.25">
      <c r="A358" s="6">
        <v>0</v>
      </c>
      <c r="B358" s="6" t="str">
        <f>VLOOKUP(A358,SAP!$1:$1048576,2,FALSE)</f>
        <v>__</v>
      </c>
      <c r="C358" s="6">
        <f t="shared" si="49"/>
        <v>0</v>
      </c>
      <c r="D358" s="6">
        <f t="shared" si="59"/>
        <v>0</v>
      </c>
      <c r="E358" s="6">
        <f>IF($E$309=5,1,IF($E$309&lt;&gt;5,0))</f>
        <v>0</v>
      </c>
      <c r="F358" s="6">
        <f t="shared" ref="F358" si="61">C358*D358*E358</f>
        <v>0</v>
      </c>
      <c r="G358" s="6">
        <f t="shared" ref="G358" si="62">F358*A358</f>
        <v>0</v>
      </c>
      <c r="H358" s="6">
        <f t="shared" si="53"/>
        <v>0</v>
      </c>
      <c r="I358" s="6">
        <f t="shared" si="60"/>
        <v>0</v>
      </c>
      <c r="J358" s="6">
        <f>IF($J$309=5,1,IF($J$309&lt;&gt;5,0))</f>
        <v>0</v>
      </c>
      <c r="K358" s="6">
        <f t="shared" ref="K358" si="63">H358*I358*J358</f>
        <v>0</v>
      </c>
      <c r="L358" s="6">
        <f t="shared" ref="L358" si="64">K358*A358</f>
        <v>0</v>
      </c>
    </row>
    <row r="359" spans="1:12" s="6" customFormat="1" hidden="1" x14ac:dyDescent="0.25">
      <c r="A359" s="6">
        <v>780588</v>
      </c>
      <c r="B359" s="6" t="str">
        <f>VLOOKUP(A359,SAP!$1:$1048576,2,FALSE)</f>
        <v>Klamka R-line/klucz100Nm37mm200R05.3ALV</v>
      </c>
      <c r="C359" s="6">
        <f t="shared" si="49"/>
        <v>0</v>
      </c>
      <c r="D359" s="6">
        <f t="shared" si="59"/>
        <v>0</v>
      </c>
      <c r="E359" s="6">
        <f>IF($E$309=6,1,IF($E$309&lt;&gt;6,0))</f>
        <v>0</v>
      </c>
      <c r="F359" s="6">
        <f t="shared" si="51"/>
        <v>0</v>
      </c>
      <c r="G359" s="6">
        <f t="shared" si="52"/>
        <v>0</v>
      </c>
      <c r="H359" s="6">
        <f t="shared" si="53"/>
        <v>0</v>
      </c>
      <c r="I359" s="6">
        <f t="shared" si="60"/>
        <v>0</v>
      </c>
      <c r="J359" s="6">
        <f>IF($J$309=6,1,IF($J$309&lt;&gt;6,0))</f>
        <v>0</v>
      </c>
      <c r="K359" s="6">
        <f t="shared" si="31"/>
        <v>0</v>
      </c>
      <c r="L359" s="6">
        <f t="shared" si="32"/>
        <v>0</v>
      </c>
    </row>
    <row r="360" spans="1:12" s="6" customFormat="1" hidden="1" x14ac:dyDescent="0.25">
      <c r="A360" s="6">
        <v>780589</v>
      </c>
      <c r="B360" s="6" t="str">
        <f>VLOOKUP(A360,SAP!$1:$1048576,2,FALSE)</f>
        <v>Klamka R-line/klucz100Nm37mm200R05.4ALV</v>
      </c>
      <c r="C360" s="6">
        <f t="shared" si="49"/>
        <v>0</v>
      </c>
      <c r="D360" s="6">
        <f t="shared" si="59"/>
        <v>0</v>
      </c>
      <c r="E360" s="6">
        <f>IF($E$309=7,1,IF($E$309&lt;&gt;7,0))</f>
        <v>0</v>
      </c>
      <c r="F360" s="6">
        <f t="shared" si="51"/>
        <v>0</v>
      </c>
      <c r="G360" s="6">
        <f t="shared" si="52"/>
        <v>0</v>
      </c>
      <c r="H360" s="6">
        <f t="shared" si="53"/>
        <v>0</v>
      </c>
      <c r="I360" s="6">
        <f t="shared" si="60"/>
        <v>0</v>
      </c>
      <c r="J360" s="6">
        <f>IF($J$309=7,1,IF($J$309&lt;&gt;7,0))</f>
        <v>0</v>
      </c>
      <c r="K360" s="6">
        <f t="shared" si="31"/>
        <v>0</v>
      </c>
      <c r="L360" s="6">
        <f t="shared" si="32"/>
        <v>0</v>
      </c>
    </row>
    <row r="361" spans="1:12" s="6" customFormat="1" hidden="1" x14ac:dyDescent="0.25">
      <c r="A361" s="6">
        <v>780590</v>
      </c>
      <c r="B361" s="6" t="str">
        <f>VLOOKUP(A361,SAP!$1:$1048576,2,FALSE)</f>
        <v>Klamka R-line/klucz100Nm37mm200R05.5ALV</v>
      </c>
      <c r="C361" s="6">
        <f t="shared" si="49"/>
        <v>0</v>
      </c>
      <c r="D361" s="6">
        <f t="shared" si="59"/>
        <v>0</v>
      </c>
      <c r="E361" s="6">
        <f>IF($E$309=8,1,IF($E$309&lt;&gt;8,0))</f>
        <v>0</v>
      </c>
      <c r="F361" s="6">
        <f t="shared" si="51"/>
        <v>0</v>
      </c>
      <c r="G361" s="6">
        <f t="shared" si="52"/>
        <v>0</v>
      </c>
      <c r="H361" s="6">
        <f t="shared" si="53"/>
        <v>0</v>
      </c>
      <c r="I361" s="6">
        <f t="shared" si="60"/>
        <v>0</v>
      </c>
      <c r="J361" s="6">
        <f>IF($J$309=8,1,IF($J$309&lt;&gt;8,0))</f>
        <v>0</v>
      </c>
      <c r="K361" s="6">
        <f t="shared" si="31"/>
        <v>0</v>
      </c>
      <c r="L361" s="6">
        <f t="shared" si="32"/>
        <v>0</v>
      </c>
    </row>
    <row r="362" spans="1:12" s="6" customFormat="1" hidden="1" x14ac:dyDescent="0.25">
      <c r="A362" s="6">
        <v>787003</v>
      </c>
      <c r="B362" s="6" t="str">
        <f>VLOOKUP(A362,SAP!$1:$1048576,2,FALSE)</f>
        <v>Klamka R-line/klucz100Nm37mm200R06.2MALV</v>
      </c>
      <c r="C362" s="6">
        <f t="shared" si="49"/>
        <v>0</v>
      </c>
      <c r="D362" s="6">
        <f t="shared" si="59"/>
        <v>0</v>
      </c>
      <c r="E362" s="6">
        <f>IF($E$309=9,1,IF($E$309&lt;&gt;9,0))</f>
        <v>0</v>
      </c>
      <c r="F362" s="6">
        <f t="shared" si="51"/>
        <v>0</v>
      </c>
      <c r="G362" s="6">
        <f t="shared" si="52"/>
        <v>0</v>
      </c>
      <c r="H362" s="6">
        <f t="shared" si="53"/>
        <v>0</v>
      </c>
      <c r="I362" s="6">
        <f t="shared" si="60"/>
        <v>0</v>
      </c>
      <c r="J362" s="6">
        <f>IF($J$309=9,1,IF($J$309&lt;&gt;9,0))</f>
        <v>0</v>
      </c>
      <c r="K362" s="6">
        <f t="shared" si="31"/>
        <v>0</v>
      </c>
      <c r="L362" s="6">
        <f t="shared" si="32"/>
        <v>0</v>
      </c>
    </row>
    <row r="363" spans="1:12" s="6" customFormat="1" hidden="1" x14ac:dyDescent="0.25">
      <c r="A363" s="6">
        <v>780591</v>
      </c>
      <c r="B363" s="6" t="str">
        <f>VLOOKUP(A363,SAP!$1:$1048576,2,FALSE)</f>
        <v>Klamka R-line/klucz100Nm37mm200R07.2ALV</v>
      </c>
      <c r="C363" s="6">
        <f t="shared" si="49"/>
        <v>0</v>
      </c>
      <c r="D363" s="6">
        <f t="shared" si="59"/>
        <v>0</v>
      </c>
      <c r="E363" s="6">
        <f>IF($E$309=10,1,IF($E$309&lt;&gt;10,0))</f>
        <v>0</v>
      </c>
      <c r="F363" s="6">
        <f t="shared" si="51"/>
        <v>0</v>
      </c>
      <c r="G363" s="6">
        <f t="shared" si="52"/>
        <v>0</v>
      </c>
      <c r="H363" s="6">
        <f t="shared" si="53"/>
        <v>0</v>
      </c>
      <c r="I363" s="6">
        <f t="shared" si="60"/>
        <v>0</v>
      </c>
      <c r="J363" s="6">
        <f>IF($J$309=10,1,IF($J$309&lt;&gt;10,0))</f>
        <v>0</v>
      </c>
      <c r="K363" s="6">
        <f t="shared" si="31"/>
        <v>0</v>
      </c>
      <c r="L363" s="6">
        <f t="shared" si="32"/>
        <v>0</v>
      </c>
    </row>
    <row r="364" spans="1:12" s="6" customFormat="1" hidden="1" x14ac:dyDescent="0.25">
      <c r="A364" s="6">
        <v>780592</v>
      </c>
      <c r="B364" s="6" t="str">
        <f>VLOOKUP(A364,SAP!$1:$1048576,2,FALSE)</f>
        <v>Klamka R-line/klucz100Nm37mm200R07.3ALV</v>
      </c>
      <c r="C364" s="6">
        <f t="shared" si="49"/>
        <v>0</v>
      </c>
      <c r="D364" s="6">
        <f t="shared" si="59"/>
        <v>0</v>
      </c>
      <c r="E364" s="6">
        <f>IF($E$309=11,1,IF($E$309&lt;&gt;11,0))</f>
        <v>0</v>
      </c>
      <c r="F364" s="6">
        <f t="shared" si="51"/>
        <v>0</v>
      </c>
      <c r="G364" s="6">
        <f t="shared" si="52"/>
        <v>0</v>
      </c>
      <c r="H364" s="6">
        <f t="shared" si="53"/>
        <v>0</v>
      </c>
      <c r="I364" s="6">
        <f t="shared" si="60"/>
        <v>0</v>
      </c>
      <c r="J364" s="6">
        <f>IF($J$309=11,1,IF($J$309&lt;&gt;11,0))</f>
        <v>0</v>
      </c>
      <c r="K364" s="6">
        <f t="shared" si="31"/>
        <v>0</v>
      </c>
      <c r="L364" s="6">
        <f t="shared" si="32"/>
        <v>0</v>
      </c>
    </row>
    <row r="365" spans="1:12" s="6" customFormat="1" hidden="1" x14ac:dyDescent="0.25">
      <c r="A365" s="6">
        <v>780593</v>
      </c>
      <c r="B365" s="6" t="str">
        <f>VLOOKUP(A365,SAP!$1:$1048576,2,FALSE)</f>
        <v>Klamka R-line/klucz100Nm43mm200R01.1ALV</v>
      </c>
      <c r="C365" s="6">
        <f t="shared" si="49"/>
        <v>0</v>
      </c>
      <c r="D365" s="6">
        <f>IF($D$309=3,1,IF($D$309&lt;&gt;3,0))</f>
        <v>1</v>
      </c>
      <c r="E365" s="6">
        <f>IF($E$309=1,1,IF($E$309&lt;&gt;1,0))</f>
        <v>1</v>
      </c>
      <c r="F365" s="6">
        <f t="shared" si="51"/>
        <v>0</v>
      </c>
      <c r="G365" s="6">
        <f t="shared" si="52"/>
        <v>0</v>
      </c>
      <c r="H365" s="6">
        <f t="shared" si="53"/>
        <v>0</v>
      </c>
      <c r="I365" s="6">
        <f>IF($I$309=3,1,IF($I$309&lt;&gt;3,0))</f>
        <v>1</v>
      </c>
      <c r="J365" s="6">
        <f>IF($J$309=1,1,IF($J$309&lt;&gt;1,0))</f>
        <v>1</v>
      </c>
      <c r="K365" s="6">
        <f t="shared" si="31"/>
        <v>0</v>
      </c>
      <c r="L365" s="6">
        <f t="shared" si="32"/>
        <v>0</v>
      </c>
    </row>
    <row r="366" spans="1:12" s="6" customFormat="1" hidden="1" x14ac:dyDescent="0.25">
      <c r="A366" s="6">
        <v>786730</v>
      </c>
      <c r="B366" s="6" t="str">
        <f>VLOOKUP(A366,SAP!$1:$1048576,2,FALSE)</f>
        <v>Klamka R-line/klucz100Nm43mm200R01.2ALV</v>
      </c>
      <c r="C366" s="6">
        <f t="shared" si="49"/>
        <v>0</v>
      </c>
      <c r="D366" s="6">
        <f t="shared" ref="D366:D375" si="65">IF($D$309=3,1,IF($D$309&lt;&gt;3,0))</f>
        <v>1</v>
      </c>
      <c r="E366" s="6">
        <f>IF($E$309=2,1,IF($E$309&lt;&gt;2,0))</f>
        <v>0</v>
      </c>
      <c r="F366" s="6">
        <f t="shared" si="51"/>
        <v>0</v>
      </c>
      <c r="G366" s="6">
        <f t="shared" si="52"/>
        <v>0</v>
      </c>
      <c r="H366" s="6">
        <f t="shared" si="53"/>
        <v>0</v>
      </c>
      <c r="I366" s="6">
        <f t="shared" ref="I366:I375" si="66">IF($I$309=3,1,IF($I$309&lt;&gt;3,0))</f>
        <v>1</v>
      </c>
      <c r="J366" s="6">
        <f>IF($J$309=2,1,IF($J$309&lt;&gt;2,0))</f>
        <v>0</v>
      </c>
      <c r="K366" s="6">
        <f t="shared" si="31"/>
        <v>0</v>
      </c>
      <c r="L366" s="6">
        <f t="shared" si="32"/>
        <v>0</v>
      </c>
    </row>
    <row r="367" spans="1:12" s="6" customFormat="1" hidden="1" x14ac:dyDescent="0.25">
      <c r="A367" s="6">
        <v>780594</v>
      </c>
      <c r="B367" s="6" t="str">
        <f>VLOOKUP(A367,SAP!$1:$1048576,2,FALSE)</f>
        <v>Klamka R-line/klucz100Nm43mm200R01.3ALV</v>
      </c>
      <c r="C367" s="6">
        <f t="shared" si="49"/>
        <v>0</v>
      </c>
      <c r="D367" s="6">
        <f t="shared" si="65"/>
        <v>1</v>
      </c>
      <c r="E367" s="6">
        <f>IF($E$309=3,1,IF($E$309&lt;&gt;3,0))</f>
        <v>0</v>
      </c>
      <c r="F367" s="6">
        <f t="shared" si="51"/>
        <v>0</v>
      </c>
      <c r="G367" s="6">
        <f t="shared" si="52"/>
        <v>0</v>
      </c>
      <c r="H367" s="6">
        <f t="shared" si="53"/>
        <v>0</v>
      </c>
      <c r="I367" s="6">
        <f t="shared" si="66"/>
        <v>1</v>
      </c>
      <c r="J367" s="6">
        <f>IF($J$309=3,1,IF($J$309&lt;&gt;3,0))</f>
        <v>0</v>
      </c>
      <c r="K367" s="6">
        <f t="shared" si="31"/>
        <v>0</v>
      </c>
      <c r="L367" s="6">
        <f t="shared" si="32"/>
        <v>0</v>
      </c>
    </row>
    <row r="368" spans="1:12" s="6" customFormat="1" hidden="1" x14ac:dyDescent="0.25">
      <c r="A368" s="6">
        <v>786755</v>
      </c>
      <c r="B368" s="6" t="str">
        <f>VLOOKUP(A368,SAP!$1:$1048576,2,FALSE)</f>
        <v>Klamka R-line/klucz100Nm43mm200R01.5ALV</v>
      </c>
      <c r="C368" s="6">
        <f t="shared" si="49"/>
        <v>0</v>
      </c>
      <c r="D368" s="6">
        <f t="shared" si="65"/>
        <v>1</v>
      </c>
      <c r="E368" s="6">
        <f>IF($E$309=4,1,IF($E$309&lt;&gt;4,0))</f>
        <v>0</v>
      </c>
      <c r="F368" s="6">
        <f t="shared" si="51"/>
        <v>0</v>
      </c>
      <c r="G368" s="6">
        <f t="shared" si="52"/>
        <v>0</v>
      </c>
      <c r="H368" s="6">
        <f t="shared" si="53"/>
        <v>0</v>
      </c>
      <c r="I368" s="6">
        <f t="shared" si="66"/>
        <v>1</v>
      </c>
      <c r="J368" s="6">
        <f>IF($J$309=4,1,IF($J$309&lt;&gt;4,0))</f>
        <v>0</v>
      </c>
      <c r="K368" s="6">
        <f t="shared" si="31"/>
        <v>0</v>
      </c>
      <c r="L368" s="6">
        <f t="shared" si="32"/>
        <v>0</v>
      </c>
    </row>
    <row r="369" spans="1:12" s="6" customFormat="1" hidden="1" x14ac:dyDescent="0.25">
      <c r="A369" s="37">
        <v>820798</v>
      </c>
      <c r="B369" s="6" t="str">
        <f>VLOOKUP(A369,SAP!$1:$1048576,2,FALSE)</f>
        <v>Klamka R-line/klucz100Nm43mm200R02.2ALV</v>
      </c>
      <c r="C369" s="6">
        <f t="shared" si="49"/>
        <v>0</v>
      </c>
      <c r="D369" s="6">
        <f t="shared" si="65"/>
        <v>1</v>
      </c>
      <c r="E369" s="6">
        <f>IF($E$309=5,1,IF($E$309&lt;&gt;5,0))</f>
        <v>0</v>
      </c>
      <c r="F369" s="6">
        <f t="shared" ref="F369" si="67">C369*D369*E369</f>
        <v>0</v>
      </c>
      <c r="G369" s="6">
        <f t="shared" ref="G369" si="68">F369*A369</f>
        <v>0</v>
      </c>
      <c r="H369" s="6">
        <f t="shared" si="53"/>
        <v>0</v>
      </c>
      <c r="I369" s="6">
        <f t="shared" si="66"/>
        <v>1</v>
      </c>
      <c r="J369" s="6">
        <f>IF($J$309=5,1,IF($J$309&lt;&gt;5,0))</f>
        <v>0</v>
      </c>
      <c r="K369" s="6">
        <f t="shared" ref="K369" si="69">H369*I369*J369</f>
        <v>0</v>
      </c>
      <c r="L369" s="6">
        <f t="shared" ref="L369" si="70">K369*A369</f>
        <v>0</v>
      </c>
    </row>
    <row r="370" spans="1:12" s="6" customFormat="1" hidden="1" x14ac:dyDescent="0.25">
      <c r="A370" s="6">
        <v>780595</v>
      </c>
      <c r="B370" s="6" t="str">
        <f>VLOOKUP(A370,SAP!$1:$1048576,2,FALSE)</f>
        <v>Klamka R-line/klucz100Nm43mm200R05.3ALV</v>
      </c>
      <c r="C370" s="6">
        <f t="shared" si="49"/>
        <v>0</v>
      </c>
      <c r="D370" s="6">
        <f t="shared" si="65"/>
        <v>1</v>
      </c>
      <c r="E370" s="6">
        <f>IF($E$309=6,1,IF($E$309&lt;&gt;6,0))</f>
        <v>0</v>
      </c>
      <c r="F370" s="6">
        <f t="shared" si="51"/>
        <v>0</v>
      </c>
      <c r="G370" s="6">
        <f t="shared" si="52"/>
        <v>0</v>
      </c>
      <c r="H370" s="6">
        <f t="shared" si="53"/>
        <v>0</v>
      </c>
      <c r="I370" s="6">
        <f t="shared" si="66"/>
        <v>1</v>
      </c>
      <c r="J370" s="6">
        <f>IF($J$309=6,1,IF($J$309&lt;&gt;6,0))</f>
        <v>0</v>
      </c>
      <c r="K370" s="6">
        <f t="shared" si="31"/>
        <v>0</v>
      </c>
      <c r="L370" s="6">
        <f t="shared" si="32"/>
        <v>0</v>
      </c>
    </row>
    <row r="371" spans="1:12" s="6" customFormat="1" hidden="1" x14ac:dyDescent="0.25">
      <c r="A371" s="6">
        <v>780596</v>
      </c>
      <c r="B371" s="6" t="str">
        <f>VLOOKUP(A371,SAP!$1:$1048576,2,FALSE)</f>
        <v>Klamka R-line/klucz100Nm43mm200R05.4ALV</v>
      </c>
      <c r="C371" s="6">
        <f t="shared" si="49"/>
        <v>0</v>
      </c>
      <c r="D371" s="6">
        <f t="shared" si="65"/>
        <v>1</v>
      </c>
      <c r="E371" s="6">
        <f>IF($E$309=7,1,IF($E$309&lt;&gt;7,0))</f>
        <v>0</v>
      </c>
      <c r="F371" s="6">
        <f t="shared" si="51"/>
        <v>0</v>
      </c>
      <c r="G371" s="6">
        <f t="shared" si="52"/>
        <v>0</v>
      </c>
      <c r="H371" s="6">
        <f t="shared" si="53"/>
        <v>0</v>
      </c>
      <c r="I371" s="6">
        <f t="shared" si="66"/>
        <v>1</v>
      </c>
      <c r="J371" s="6">
        <f>IF($J$309=7,1,IF($J$309&lt;&gt;7,0))</f>
        <v>0</v>
      </c>
      <c r="K371" s="6">
        <f t="shared" si="31"/>
        <v>0</v>
      </c>
      <c r="L371" s="6">
        <f t="shared" si="32"/>
        <v>0</v>
      </c>
    </row>
    <row r="372" spans="1:12" s="6" customFormat="1" hidden="1" x14ac:dyDescent="0.25">
      <c r="A372" s="6">
        <v>780597</v>
      </c>
      <c r="B372" s="6" t="str">
        <f>VLOOKUP(A372,SAP!$1:$1048576,2,FALSE)</f>
        <v>Klamka R-line/klucz100Nm43mm200R05.5ALV</v>
      </c>
      <c r="C372" s="6">
        <f t="shared" si="49"/>
        <v>0</v>
      </c>
      <c r="D372" s="6">
        <f t="shared" si="65"/>
        <v>1</v>
      </c>
      <c r="E372" s="6">
        <f>IF($E$309=8,1,IF($E$309&lt;&gt;8,0))</f>
        <v>0</v>
      </c>
      <c r="F372" s="6">
        <f t="shared" si="51"/>
        <v>0</v>
      </c>
      <c r="G372" s="6">
        <f t="shared" si="52"/>
        <v>0</v>
      </c>
      <c r="H372" s="6">
        <f t="shared" si="53"/>
        <v>0</v>
      </c>
      <c r="I372" s="6">
        <f t="shared" si="66"/>
        <v>1</v>
      </c>
      <c r="J372" s="6">
        <f>IF($J$309=8,1,IF($J$309&lt;&gt;8,0))</f>
        <v>0</v>
      </c>
      <c r="K372" s="6">
        <f t="shared" si="31"/>
        <v>0</v>
      </c>
      <c r="L372" s="6">
        <f t="shared" si="32"/>
        <v>0</v>
      </c>
    </row>
    <row r="373" spans="1:12" s="6" customFormat="1" hidden="1" x14ac:dyDescent="0.25">
      <c r="A373" s="6">
        <v>787004</v>
      </c>
      <c r="B373" s="6" t="str">
        <f>VLOOKUP(A373,SAP!$1:$1048576,2,FALSE)</f>
        <v>Klamka R-line/klucz100Nm43mm200R06.2MALV</v>
      </c>
      <c r="C373" s="6">
        <f t="shared" si="49"/>
        <v>0</v>
      </c>
      <c r="D373" s="6">
        <f t="shared" si="65"/>
        <v>1</v>
      </c>
      <c r="E373" s="6">
        <f>IF($E$309=9,1,IF($E$309&lt;&gt;9,0))</f>
        <v>0</v>
      </c>
      <c r="F373" s="6">
        <f t="shared" si="51"/>
        <v>0</v>
      </c>
      <c r="G373" s="6">
        <f t="shared" si="52"/>
        <v>0</v>
      </c>
      <c r="H373" s="6">
        <f t="shared" si="53"/>
        <v>0</v>
      </c>
      <c r="I373" s="6">
        <f t="shared" si="66"/>
        <v>1</v>
      </c>
      <c r="J373" s="6">
        <f>IF($J$309=9,1,IF($J$309&lt;&gt;9,0))</f>
        <v>0</v>
      </c>
      <c r="K373" s="6">
        <f t="shared" si="31"/>
        <v>0</v>
      </c>
      <c r="L373" s="6">
        <f t="shared" si="32"/>
        <v>0</v>
      </c>
    </row>
    <row r="374" spans="1:12" s="6" customFormat="1" hidden="1" x14ac:dyDescent="0.25">
      <c r="A374" s="6">
        <v>780598</v>
      </c>
      <c r="B374" s="6" t="str">
        <f>VLOOKUP(A374,SAP!$1:$1048576,2,FALSE)</f>
        <v>Klamka R-line/klucz100Nm43mm200R07.2ALV</v>
      </c>
      <c r="C374" s="6">
        <f t="shared" si="49"/>
        <v>0</v>
      </c>
      <c r="D374" s="6">
        <f t="shared" si="65"/>
        <v>1</v>
      </c>
      <c r="E374" s="6">
        <f>IF($E$309=10,1,IF($E$309&lt;&gt;10,0))</f>
        <v>0</v>
      </c>
      <c r="F374" s="6">
        <f t="shared" si="51"/>
        <v>0</v>
      </c>
      <c r="G374" s="6">
        <f t="shared" si="52"/>
        <v>0</v>
      </c>
      <c r="H374" s="6">
        <f t="shared" si="53"/>
        <v>0</v>
      </c>
      <c r="I374" s="6">
        <f t="shared" si="66"/>
        <v>1</v>
      </c>
      <c r="J374" s="6">
        <f>IF($J$309=10,1,IF($J$309&lt;&gt;10,0))</f>
        <v>0</v>
      </c>
      <c r="K374" s="6">
        <f t="shared" si="31"/>
        <v>0</v>
      </c>
      <c r="L374" s="6">
        <f t="shared" si="32"/>
        <v>0</v>
      </c>
    </row>
    <row r="375" spans="1:12" s="6" customFormat="1" hidden="1" x14ac:dyDescent="0.25">
      <c r="A375" s="6">
        <v>780599</v>
      </c>
      <c r="B375" s="6" t="str">
        <f>VLOOKUP(A375,SAP!$1:$1048576,2,FALSE)</f>
        <v>Klamka R-line/klucz100Nm43mm200R07.3ALV</v>
      </c>
      <c r="C375" s="6">
        <f t="shared" si="49"/>
        <v>0</v>
      </c>
      <c r="D375" s="6">
        <f t="shared" si="65"/>
        <v>1</v>
      </c>
      <c r="E375" s="6">
        <f>IF($E$309=11,1,IF($E$309&lt;&gt;11,0))</f>
        <v>0</v>
      </c>
      <c r="F375" s="6">
        <f t="shared" si="51"/>
        <v>0</v>
      </c>
      <c r="G375" s="6">
        <f t="shared" si="52"/>
        <v>0</v>
      </c>
      <c r="H375" s="6">
        <f t="shared" si="53"/>
        <v>0</v>
      </c>
      <c r="I375" s="6">
        <f t="shared" si="66"/>
        <v>1</v>
      </c>
      <c r="J375" s="6">
        <f>IF($J$309=11,1,IF($J$309&lt;&gt;11,0))</f>
        <v>0</v>
      </c>
      <c r="K375" s="6">
        <f t="shared" si="31"/>
        <v>0</v>
      </c>
      <c r="L375" s="6">
        <f t="shared" si="32"/>
        <v>0</v>
      </c>
    </row>
    <row r="376" spans="1:12" s="6" customFormat="1" hidden="1" x14ac:dyDescent="0.25">
      <c r="A376" s="6">
        <v>786179</v>
      </c>
      <c r="B376" s="6" t="str">
        <f>VLOOKUP(A376,SAP!$1:$1048576,2,FALSE)</f>
        <v>Klamka R-lineDwustr.nisk100mm200R01.1ALV</v>
      </c>
      <c r="C376" s="6">
        <f>IF($C$309=3,1,IF($C$309&lt;&gt;3,0))</f>
        <v>0</v>
      </c>
      <c r="D376" s="6">
        <f>IF($D$309=4,1,IF($D$309&lt;&gt;4,0))</f>
        <v>0</v>
      </c>
      <c r="E376" s="6">
        <f>IF($E$309=1,1,IF($E$309&lt;&gt;1,0))</f>
        <v>1</v>
      </c>
      <c r="F376" s="6">
        <f>C376*D376*E376</f>
        <v>0</v>
      </c>
      <c r="G376" s="6">
        <f>F376*A376</f>
        <v>0</v>
      </c>
      <c r="L376" s="11">
        <f>SUM(L310:L375)</f>
        <v>780551</v>
      </c>
    </row>
    <row r="377" spans="1:12" s="6" customFormat="1" hidden="1" x14ac:dyDescent="0.25">
      <c r="A377" s="6">
        <v>786221</v>
      </c>
      <c r="B377" s="6" t="str">
        <f>VLOOKUP(A377,SAP!$1:$1048576,2,FALSE)</f>
        <v>Klamka R-lineDwustr.nisk100mm200R01.5ALV</v>
      </c>
      <c r="C377" s="6">
        <f t="shared" ref="C377:C393" si="71">IF($C$309=3,1,IF($C$309&lt;&gt;3,0))</f>
        <v>0</v>
      </c>
      <c r="D377" s="6">
        <f t="shared" ref="D377:D384" si="72">IF($D$309=4,1,IF($D$309&lt;&gt;4,0))</f>
        <v>0</v>
      </c>
      <c r="E377" s="6">
        <f>IF($E$309=4,1,IF($E$309&lt;&gt;4,0))</f>
        <v>0</v>
      </c>
      <c r="F377" s="6">
        <f t="shared" ref="F377:F393" si="73">C377*D377*E377</f>
        <v>0</v>
      </c>
      <c r="G377" s="6">
        <f t="shared" ref="G377:G393" si="74">F377*A377</f>
        <v>0</v>
      </c>
    </row>
    <row r="378" spans="1:12" s="6" customFormat="1" hidden="1" x14ac:dyDescent="0.25">
      <c r="A378" s="37">
        <v>820799</v>
      </c>
      <c r="B378" s="6" t="str">
        <f>VLOOKUP(A378,SAP!$1:$1048576,2,FALSE)</f>
        <v>Klamka R-lineDwustr.nisk100mm200R02.2ALV</v>
      </c>
      <c r="C378" s="6">
        <f t="shared" si="71"/>
        <v>0</v>
      </c>
      <c r="D378" s="6">
        <f t="shared" si="72"/>
        <v>0</v>
      </c>
      <c r="E378" s="6">
        <f>IF($E$309=5,1,IF($E$309&lt;&gt;5,0))</f>
        <v>0</v>
      </c>
      <c r="F378" s="6">
        <f t="shared" ref="F378" si="75">C378*D378*E378</f>
        <v>0</v>
      </c>
      <c r="G378" s="6">
        <f t="shared" ref="G378" si="76">F378*A378</f>
        <v>0</v>
      </c>
    </row>
    <row r="379" spans="1:12" s="6" customFormat="1" hidden="1" x14ac:dyDescent="0.25">
      <c r="A379" s="6">
        <v>786180</v>
      </c>
      <c r="B379" s="6" t="str">
        <f>VLOOKUP(A379,SAP!$1:$1048576,2,FALSE)</f>
        <v>Klamka R-lineDwustr.nisk100mm200R05.3ALV</v>
      </c>
      <c r="C379" s="6">
        <f t="shared" si="71"/>
        <v>0</v>
      </c>
      <c r="D379" s="6">
        <f t="shared" si="72"/>
        <v>0</v>
      </c>
      <c r="E379" s="6">
        <f>IF($E$309=6,1,IF($E$309&lt;&gt;6,0))</f>
        <v>0</v>
      </c>
      <c r="F379" s="6">
        <f t="shared" si="73"/>
        <v>0</v>
      </c>
      <c r="G379" s="6">
        <f t="shared" si="74"/>
        <v>0</v>
      </c>
    </row>
    <row r="380" spans="1:12" s="6" customFormat="1" hidden="1" x14ac:dyDescent="0.25">
      <c r="A380" s="6">
        <v>786181</v>
      </c>
      <c r="B380" s="6" t="str">
        <f>VLOOKUP(A380,SAP!$1:$1048576,2,FALSE)</f>
        <v>Klamka R-lineDwustr.nisk100mm200R05.4ALV</v>
      </c>
      <c r="C380" s="6">
        <f t="shared" si="71"/>
        <v>0</v>
      </c>
      <c r="D380" s="6">
        <f t="shared" si="72"/>
        <v>0</v>
      </c>
      <c r="E380" s="6">
        <f>IF($E$309=7,1,IF($E$309&lt;&gt;7,0))</f>
        <v>0</v>
      </c>
      <c r="F380" s="6">
        <f t="shared" si="73"/>
        <v>0</v>
      </c>
      <c r="G380" s="6">
        <f t="shared" si="74"/>
        <v>0</v>
      </c>
    </row>
    <row r="381" spans="1:12" s="6" customFormat="1" hidden="1" x14ac:dyDescent="0.25">
      <c r="A381" s="6">
        <v>786182</v>
      </c>
      <c r="B381" s="6" t="str">
        <f>VLOOKUP(A381,SAP!$1:$1048576,2,FALSE)</f>
        <v>Klamka R-lineDwustr.nisk100mm200R05.5ALV</v>
      </c>
      <c r="C381" s="6">
        <f t="shared" si="71"/>
        <v>0</v>
      </c>
      <c r="D381" s="6">
        <f t="shared" si="72"/>
        <v>0</v>
      </c>
      <c r="E381" s="6">
        <f>IF($E$309=8,1,IF($E$309&lt;&gt;8,0))</f>
        <v>0</v>
      </c>
      <c r="F381" s="6">
        <f t="shared" si="73"/>
        <v>0</v>
      </c>
      <c r="G381" s="6">
        <f t="shared" si="74"/>
        <v>0</v>
      </c>
    </row>
    <row r="382" spans="1:12" s="6" customFormat="1" hidden="1" x14ac:dyDescent="0.25">
      <c r="A382" s="6">
        <v>786222</v>
      </c>
      <c r="B382" s="6" t="str">
        <f>VLOOKUP(A382,SAP!$1:$1048576,2,FALSE)</f>
        <v>Klamka R-lineDwustr.nisk100mm200R06.2ALV</v>
      </c>
      <c r="C382" s="6">
        <f t="shared" si="71"/>
        <v>0</v>
      </c>
      <c r="D382" s="6">
        <f t="shared" si="72"/>
        <v>0</v>
      </c>
      <c r="E382" s="6">
        <f>IF($E$309=9,1,IF($E$309&lt;&gt;9,0))</f>
        <v>0</v>
      </c>
      <c r="F382" s="6">
        <f t="shared" si="73"/>
        <v>0</v>
      </c>
      <c r="G382" s="6">
        <f t="shared" si="74"/>
        <v>0</v>
      </c>
    </row>
    <row r="383" spans="1:12" s="6" customFormat="1" hidden="1" x14ac:dyDescent="0.25">
      <c r="A383" s="6">
        <v>786183</v>
      </c>
      <c r="B383" s="6" t="str">
        <f>VLOOKUP(A383,SAP!$1:$1048576,2,FALSE)</f>
        <v>Klamka R-lineDwustr.nisk100mm200R07.2ALV</v>
      </c>
      <c r="C383" s="6">
        <f t="shared" si="71"/>
        <v>0</v>
      </c>
      <c r="D383" s="6">
        <f t="shared" si="72"/>
        <v>0</v>
      </c>
      <c r="E383" s="6">
        <f>IF($E$309=10,1,IF($E$309&lt;&gt;10,0))</f>
        <v>0</v>
      </c>
      <c r="F383" s="6">
        <f t="shared" si="73"/>
        <v>0</v>
      </c>
      <c r="G383" s="6">
        <f t="shared" si="74"/>
        <v>0</v>
      </c>
    </row>
    <row r="384" spans="1:12" s="6" customFormat="1" hidden="1" x14ac:dyDescent="0.25">
      <c r="A384" s="6">
        <v>786184</v>
      </c>
      <c r="B384" s="6" t="str">
        <f>VLOOKUP(A384,SAP!$1:$1048576,2,FALSE)</f>
        <v>Klamka R-lineDwustr.nisk100mm200R07.3ALV</v>
      </c>
      <c r="C384" s="6">
        <f t="shared" si="71"/>
        <v>0</v>
      </c>
      <c r="D384" s="6">
        <f t="shared" si="72"/>
        <v>0</v>
      </c>
      <c r="E384" s="6">
        <f>IF($E$309=11,1,IF($E$309&lt;&gt;11,0))</f>
        <v>0</v>
      </c>
      <c r="F384" s="6">
        <f t="shared" si="73"/>
        <v>0</v>
      </c>
      <c r="G384" s="6">
        <f t="shared" si="74"/>
        <v>0</v>
      </c>
    </row>
    <row r="385" spans="1:7" s="6" customFormat="1" hidden="1" x14ac:dyDescent="0.25">
      <c r="A385" s="6">
        <v>786225</v>
      </c>
      <c r="B385" s="6" t="str">
        <f>VLOOKUP(A385,SAP!$1:$1048576,2,FALSE)</f>
        <v>Klamka R-lineDwustr.nisk135mm200R01.1ALV</v>
      </c>
      <c r="C385" s="6">
        <f t="shared" si="71"/>
        <v>0</v>
      </c>
      <c r="D385" s="6">
        <f>IF($D$309=5,1,IF($D$309&lt;&gt;5,0))</f>
        <v>0</v>
      </c>
      <c r="E385" s="6">
        <f>IF($E$309=1,1,IF($E$309&lt;&gt;1,0))</f>
        <v>1</v>
      </c>
      <c r="F385" s="6">
        <f t="shared" si="73"/>
        <v>0</v>
      </c>
      <c r="G385" s="6">
        <f t="shared" si="74"/>
        <v>0</v>
      </c>
    </row>
    <row r="386" spans="1:7" s="6" customFormat="1" hidden="1" x14ac:dyDescent="0.25">
      <c r="A386" s="6">
        <v>786220</v>
      </c>
      <c r="B386" s="6" t="str">
        <f>VLOOKUP(A386,SAP!$1:$1048576,2,FALSE)</f>
        <v>Klamka R-lineDwustr.nisk135mm200R01.5ALV</v>
      </c>
      <c r="C386" s="6">
        <f t="shared" si="71"/>
        <v>0</v>
      </c>
      <c r="D386" s="6">
        <f t="shared" ref="D386:D393" si="77">IF($D$309=5,1,IF($D$309&lt;&gt;5,0))</f>
        <v>0</v>
      </c>
      <c r="E386" s="6">
        <f>IF($E$309=4,1,IF($E$309&lt;&gt;4,0))</f>
        <v>0</v>
      </c>
      <c r="F386" s="6">
        <f t="shared" si="73"/>
        <v>0</v>
      </c>
      <c r="G386" s="6">
        <f t="shared" si="74"/>
        <v>0</v>
      </c>
    </row>
    <row r="387" spans="1:7" s="6" customFormat="1" hidden="1" x14ac:dyDescent="0.25">
      <c r="A387" s="6">
        <v>0</v>
      </c>
      <c r="B387" s="6" t="str">
        <f>VLOOKUP(A387,SAP!$1:$1048576,2,FALSE)</f>
        <v>__</v>
      </c>
      <c r="C387" s="6">
        <f t="shared" si="71"/>
        <v>0</v>
      </c>
      <c r="D387" s="6">
        <f t="shared" si="77"/>
        <v>0</v>
      </c>
      <c r="E387" s="6">
        <f>IF($E$309=5,1,IF($E$309&lt;&gt;5,0))</f>
        <v>0</v>
      </c>
      <c r="F387" s="6">
        <f t="shared" ref="F387" si="78">C387*D387*E387</f>
        <v>0</v>
      </c>
      <c r="G387" s="6">
        <f t="shared" ref="G387" si="79">F387*A387</f>
        <v>0</v>
      </c>
    </row>
    <row r="388" spans="1:7" s="6" customFormat="1" hidden="1" x14ac:dyDescent="0.25">
      <c r="A388" s="6">
        <v>786226</v>
      </c>
      <c r="B388" s="6" t="str">
        <f>VLOOKUP(A388,SAP!$1:$1048576,2,FALSE)</f>
        <v>Klamka R-lineDwustr.nisk135mm200R05.3ALV</v>
      </c>
      <c r="C388" s="6">
        <f t="shared" si="71"/>
        <v>0</v>
      </c>
      <c r="D388" s="6">
        <f t="shared" si="77"/>
        <v>0</v>
      </c>
      <c r="E388" s="6">
        <f>IF($E$309=6,1,IF($E$309&lt;&gt;6,0))</f>
        <v>0</v>
      </c>
      <c r="F388" s="6">
        <f t="shared" si="73"/>
        <v>0</v>
      </c>
      <c r="G388" s="6">
        <f t="shared" si="74"/>
        <v>0</v>
      </c>
    </row>
    <row r="389" spans="1:7" s="6" customFormat="1" hidden="1" x14ac:dyDescent="0.25">
      <c r="A389" s="6">
        <v>786227</v>
      </c>
      <c r="B389" s="6" t="str">
        <f>VLOOKUP(A389,SAP!$1:$1048576,2,FALSE)</f>
        <v>Klamka R-lineDwustr.nisk135mm200R05.4ALV</v>
      </c>
      <c r="C389" s="6">
        <f t="shared" si="71"/>
        <v>0</v>
      </c>
      <c r="D389" s="6">
        <f t="shared" si="77"/>
        <v>0</v>
      </c>
      <c r="E389" s="6">
        <f>IF($E$309=7,1,IF($E$309&lt;&gt;7,0))</f>
        <v>0</v>
      </c>
      <c r="F389" s="6">
        <f t="shared" si="73"/>
        <v>0</v>
      </c>
      <c r="G389" s="6">
        <f t="shared" si="74"/>
        <v>0</v>
      </c>
    </row>
    <row r="390" spans="1:7" s="6" customFormat="1" hidden="1" x14ac:dyDescent="0.25">
      <c r="A390" s="6">
        <v>786228</v>
      </c>
      <c r="B390" s="6" t="str">
        <f>VLOOKUP(A390,SAP!$1:$1048576,2,FALSE)</f>
        <v>Klamka R-lineDwustr.nisk135mm200R05.5ALV</v>
      </c>
      <c r="C390" s="6">
        <f t="shared" si="71"/>
        <v>0</v>
      </c>
      <c r="D390" s="6">
        <f t="shared" si="77"/>
        <v>0</v>
      </c>
      <c r="E390" s="6">
        <f>IF($E$309=8,1,IF($E$309&lt;&gt;8,0))</f>
        <v>0</v>
      </c>
      <c r="F390" s="6">
        <f t="shared" si="73"/>
        <v>0</v>
      </c>
      <c r="G390" s="6">
        <f t="shared" si="74"/>
        <v>0</v>
      </c>
    </row>
    <row r="391" spans="1:7" s="6" customFormat="1" hidden="1" x14ac:dyDescent="0.25">
      <c r="A391" s="6">
        <v>786229</v>
      </c>
      <c r="B391" s="6" t="str">
        <f>VLOOKUP(A391,SAP!$1:$1048576,2,FALSE)</f>
        <v>Klamka R-lineDwustr.nisk135mm200R06.2ALV</v>
      </c>
      <c r="C391" s="6">
        <f t="shared" si="71"/>
        <v>0</v>
      </c>
      <c r="D391" s="6">
        <f t="shared" si="77"/>
        <v>0</v>
      </c>
      <c r="E391" s="6">
        <f>IF($E$309=9,1,IF($E$309&lt;&gt;9,0))</f>
        <v>0</v>
      </c>
      <c r="F391" s="6">
        <f t="shared" si="73"/>
        <v>0</v>
      </c>
      <c r="G391" s="6">
        <f t="shared" si="74"/>
        <v>0</v>
      </c>
    </row>
    <row r="392" spans="1:7" s="6" customFormat="1" hidden="1" x14ac:dyDescent="0.25">
      <c r="A392" s="6">
        <v>786230</v>
      </c>
      <c r="B392" s="6" t="str">
        <f>VLOOKUP(A392,SAP!$1:$1048576,2,FALSE)</f>
        <v>Klamka R-lineDwustr.nisk135mm200R07.2ALV</v>
      </c>
      <c r="C392" s="6">
        <f t="shared" si="71"/>
        <v>0</v>
      </c>
      <c r="D392" s="6">
        <f t="shared" si="77"/>
        <v>0</v>
      </c>
      <c r="E392" s="6">
        <f>IF($E$309=10,1,IF($E$309&lt;&gt;10,0))</f>
        <v>0</v>
      </c>
      <c r="F392" s="6">
        <f t="shared" si="73"/>
        <v>0</v>
      </c>
      <c r="G392" s="6">
        <f t="shared" si="74"/>
        <v>0</v>
      </c>
    </row>
    <row r="393" spans="1:7" s="6" customFormat="1" hidden="1" x14ac:dyDescent="0.25">
      <c r="A393" s="6">
        <v>786219</v>
      </c>
      <c r="B393" s="6" t="str">
        <f>VLOOKUP(A393,SAP!$1:$1048576,2,FALSE)</f>
        <v>Klamka R-lineDwustr.nisk135mm200R07.3ALV</v>
      </c>
      <c r="C393" s="6">
        <f t="shared" si="71"/>
        <v>0</v>
      </c>
      <c r="D393" s="6">
        <f t="shared" si="77"/>
        <v>0</v>
      </c>
      <c r="E393" s="6">
        <f>IF($E$309=11,1,IF($E$309&lt;&gt;11,0))</f>
        <v>0</v>
      </c>
      <c r="F393" s="6">
        <f t="shared" si="73"/>
        <v>0</v>
      </c>
      <c r="G393" s="6">
        <f t="shared" si="74"/>
        <v>0</v>
      </c>
    </row>
    <row r="394" spans="1:7" s="6" customFormat="1" hidden="1" x14ac:dyDescent="0.25">
      <c r="G394" s="32">
        <f>SUM(G310:G393)</f>
        <v>780551</v>
      </c>
    </row>
    <row r="395" spans="1:7" s="6" customFormat="1" hidden="1" x14ac:dyDescent="0.25"/>
    <row r="396" spans="1:7" s="6" customFormat="1" hidden="1" x14ac:dyDescent="0.25">
      <c r="A396" s="6">
        <v>494472</v>
      </c>
      <c r="B396" s="6" t="str">
        <f>VLOOKUP(A396,SAP!$1:$1048576,2,FALSE)</f>
        <v>Pochwyt zlicowany PatioLife 43mm R01.1</v>
      </c>
      <c r="C396" s="8">
        <f>H85</f>
        <v>1</v>
      </c>
      <c r="D396" s="8">
        <f>IF(C396=1,0,IF(C396=2,A396,IF(C396=3,A397,IF(C396=4,A398,IF(C396=5,A399,IF(C396=6,A400,IF(C396=7,A401)))))))</f>
        <v>0</v>
      </c>
    </row>
    <row r="397" spans="1:7" s="6" customFormat="1" hidden="1" x14ac:dyDescent="0.25">
      <c r="A397" s="6">
        <v>623221</v>
      </c>
      <c r="B397" s="6" t="str">
        <f>VLOOKUP(A397,SAP!$1:$1048576,2,FALSE)</f>
        <v>Pochwyt zlicowany PatioLife 43mm R01.3</v>
      </c>
    </row>
    <row r="398" spans="1:7" s="6" customFormat="1" hidden="1" x14ac:dyDescent="0.25">
      <c r="A398" s="6">
        <v>494473</v>
      </c>
      <c r="B398" s="6" t="str">
        <f>VLOOKUP(A398,SAP!$1:$1048576,2,FALSE)</f>
        <v>Pochwyt zlicowany PatioLife 43mm R05.3</v>
      </c>
    </row>
    <row r="399" spans="1:7" s="6" customFormat="1" hidden="1" x14ac:dyDescent="0.25">
      <c r="A399" s="6">
        <v>614625</v>
      </c>
      <c r="B399" s="6" t="str">
        <f>VLOOKUP(A399,SAP!$1:$1048576,2,FALSE)</f>
        <v>Pochwyt zlicowany PatioLife 43mm R05.5</v>
      </c>
    </row>
    <row r="400" spans="1:7" s="6" customFormat="1" hidden="1" x14ac:dyDescent="0.25">
      <c r="A400" s="6">
        <v>494474</v>
      </c>
      <c r="B400" s="6" t="str">
        <f>VLOOKUP(A400,SAP!$1:$1048576,2,FALSE)</f>
        <v>Pochwyt zlicowany PatioLife 43mm R07.2</v>
      </c>
    </row>
    <row r="401" spans="1:4" s="6" customFormat="1" hidden="1" x14ac:dyDescent="0.25">
      <c r="A401" s="6">
        <v>605551</v>
      </c>
      <c r="B401" s="6" t="str">
        <f>VLOOKUP(A401,SAP!1:1048576,2,FALSE)</f>
        <v>Pochwyt zew. 43MM R06.2 IS</v>
      </c>
    </row>
    <row r="402" spans="1:4" s="6" customFormat="1" hidden="1" x14ac:dyDescent="0.25"/>
    <row r="403" spans="1:4" s="6" customFormat="1" hidden="1" x14ac:dyDescent="0.25">
      <c r="A403" s="6">
        <v>494472</v>
      </c>
      <c r="B403" s="6" t="str">
        <f>VLOOKUP(A403,SAP!$1:$1048576,2,FALSE)</f>
        <v>Pochwyt zlicowany PatioLife 43mm R01.1</v>
      </c>
      <c r="C403" s="8">
        <f>N85</f>
        <v>1</v>
      </c>
      <c r="D403" s="8">
        <f>IF(C403=1,0,IF(C403=2,A403,IF(C403=3,A404,IF(C403=4,A405,IF(C403=5,A406,IF(C403=6,A407,IF(C403=7,A408)))))))</f>
        <v>0</v>
      </c>
    </row>
    <row r="404" spans="1:4" s="6" customFormat="1" hidden="1" x14ac:dyDescent="0.25">
      <c r="A404" s="6">
        <v>623221</v>
      </c>
      <c r="B404" s="6" t="str">
        <f>VLOOKUP(A404,SAP!$1:$1048576,2,FALSE)</f>
        <v>Pochwyt zlicowany PatioLife 43mm R01.3</v>
      </c>
    </row>
    <row r="405" spans="1:4" s="6" customFormat="1" hidden="1" x14ac:dyDescent="0.25">
      <c r="A405" s="6">
        <v>494473</v>
      </c>
      <c r="B405" s="6" t="str">
        <f>VLOOKUP(A405,SAP!$1:$1048576,2,FALSE)</f>
        <v>Pochwyt zlicowany PatioLife 43mm R05.3</v>
      </c>
    </row>
    <row r="406" spans="1:4" s="6" customFormat="1" hidden="1" x14ac:dyDescent="0.25">
      <c r="A406" s="6">
        <v>614625</v>
      </c>
      <c r="B406" s="6" t="str">
        <f>VLOOKUP(A406,SAP!$1:$1048576,2,FALSE)</f>
        <v>Pochwyt zlicowany PatioLife 43mm R05.5</v>
      </c>
    </row>
    <row r="407" spans="1:4" s="6" customFormat="1" hidden="1" x14ac:dyDescent="0.25">
      <c r="A407" s="6">
        <v>494474</v>
      </c>
      <c r="B407" s="6" t="str">
        <f>VLOOKUP(A407,SAP!$1:$1048576,2,FALSE)</f>
        <v>Pochwyt zlicowany PatioLife 43mm R07.2</v>
      </c>
    </row>
    <row r="408" spans="1:4" s="6" customFormat="1" hidden="1" x14ac:dyDescent="0.25">
      <c r="A408" s="6">
        <v>605551</v>
      </c>
      <c r="B408" s="6" t="str">
        <f>VLOOKUP(A408,SAP!1:1048576,2,FALSE)</f>
        <v>Pochwyt zew. 43MM R06.2 IS</v>
      </c>
    </row>
    <row r="409" spans="1:4" s="6" customFormat="1" hidden="1" x14ac:dyDescent="0.25"/>
    <row r="410" spans="1:4" s="6" customFormat="1" hidden="1" x14ac:dyDescent="0.25">
      <c r="A410" s="6">
        <v>817180</v>
      </c>
      <c r="B410" s="6" t="str">
        <f>VLOOKUP(A410,SAP!1:1048576,2,FALSE)</f>
        <v>Zestaw śrub M5X70 (2szt.)</v>
      </c>
    </row>
    <row r="411" spans="1:4" s="6" customFormat="1" hidden="1" x14ac:dyDescent="0.25"/>
    <row r="412" spans="1:4" s="6" customFormat="1" hidden="1" x14ac:dyDescent="0.25">
      <c r="B412" s="107" t="s">
        <v>1205</v>
      </c>
      <c r="C412" s="6" t="str">
        <f>SAP!A101</f>
        <v>brak</v>
      </c>
    </row>
    <row r="413" spans="1:4" s="6" customFormat="1" hidden="1" x14ac:dyDescent="0.25">
      <c r="A413" s="6">
        <v>820028</v>
      </c>
      <c r="B413" s="6" t="str">
        <f>VLOOKUP(A413,SAP!A202:G527,2,0)</f>
        <v>Pochwyt zlicowany 43mm R01.1 PIN</v>
      </c>
      <c r="C413" s="6" t="str">
        <f>SAP!A89</f>
        <v>R01.1 Naturalny srebrny</v>
      </c>
    </row>
    <row r="414" spans="1:4" s="6" customFormat="1" hidden="1" x14ac:dyDescent="0.25">
      <c r="A414" s="6">
        <v>820029</v>
      </c>
      <c r="B414" s="6" t="str">
        <f>VLOOKUP(A414,SAP!A203:G528,2,0)</f>
        <v>Pochwyt zlicowany 43mm R01.2 PIN</v>
      </c>
      <c r="C414" s="6" t="str">
        <f>SAP!A90</f>
        <v>R01.2 Nowy srebrny</v>
      </c>
    </row>
    <row r="415" spans="1:4" s="6" customFormat="1" hidden="1" x14ac:dyDescent="0.25">
      <c r="A415" s="6">
        <v>820030</v>
      </c>
      <c r="B415" s="6" t="str">
        <f>VLOOKUP(A415,SAP!A204:G529,2,0)</f>
        <v>Pochwyt zlicowany 43mm R01.3 PIN</v>
      </c>
      <c r="C415" s="6" t="str">
        <f>SAP!A91</f>
        <v>R01.3 Tytan</v>
      </c>
    </row>
    <row r="416" spans="1:4" s="6" customFormat="1" hidden="1" x14ac:dyDescent="0.25">
      <c r="A416" s="6">
        <v>820031</v>
      </c>
      <c r="B416" s="6" t="str">
        <f>VLOOKUP(A416,SAP!A205:G530,2,0)</f>
        <v>Pochwyt zlicowany 43mm R01.5 PIN</v>
      </c>
      <c r="C416" s="6" t="str">
        <f>SAP!A92</f>
        <v>R01.5 Srebrny</v>
      </c>
    </row>
    <row r="417" spans="1:5" s="6" customFormat="1" hidden="1" x14ac:dyDescent="0.25">
      <c r="A417" s="6">
        <v>820032</v>
      </c>
      <c r="B417" s="6" t="str">
        <f>VLOOKUP(A417,SAP!A206:G531,2,0)</f>
        <v>Pochwyt zlicowany 43mm R02.2 PIN</v>
      </c>
      <c r="C417" s="6" t="str">
        <f>SAP!A93</f>
        <v>R02.2 Antracyt</v>
      </c>
    </row>
    <row r="418" spans="1:5" s="6" customFormat="1" hidden="1" x14ac:dyDescent="0.25">
      <c r="A418" s="6">
        <v>820033</v>
      </c>
      <c r="B418" s="6" t="str">
        <f>VLOOKUP(A418,SAP!A207:G532,2,0)</f>
        <v>Pochwyt zlicowany 43mm R05.3 PIN</v>
      </c>
      <c r="C418" s="6" t="str">
        <f>SAP!A94</f>
        <v>R05.3 Średni brąz</v>
      </c>
    </row>
    <row r="419" spans="1:5" s="6" customFormat="1" hidden="1" x14ac:dyDescent="0.25">
      <c r="A419" s="6">
        <v>820034</v>
      </c>
      <c r="B419" s="6" t="str">
        <f>VLOOKUP(A419,SAP!A211:G533,2,0)</f>
        <v>Pochwyt zlicowany 43mm R05.4 PIN</v>
      </c>
      <c r="C419" s="6" t="str">
        <f>SAP!A95</f>
        <v>R05.4 Ciemny brąz</v>
      </c>
    </row>
    <row r="420" spans="1:5" s="6" customFormat="1" hidden="1" x14ac:dyDescent="0.25">
      <c r="A420" s="6">
        <v>820055</v>
      </c>
      <c r="B420" s="6" t="str">
        <f>VLOOKUP(A420,SAP!A212:G534,2,0)</f>
        <v>Pochwyt zlicowany 43mm R05.5 PIN</v>
      </c>
      <c r="C420" s="6" t="str">
        <f>SAP!A96</f>
        <v>R05.5 Brązowy</v>
      </c>
    </row>
    <row r="421" spans="1:5" s="6" customFormat="1" hidden="1" x14ac:dyDescent="0.25">
      <c r="A421" s="6">
        <v>820070</v>
      </c>
      <c r="B421" s="6" t="str">
        <f>VLOOKUP(A421,SAP!A213:G535,2,0)</f>
        <v>Pochwyt zlicowany 43mm R06.2M PIN</v>
      </c>
      <c r="C421" s="6" t="str">
        <f>SAP!A97</f>
        <v>R06.2M Czarny Mat</v>
      </c>
    </row>
    <row r="422" spans="1:5" s="6" customFormat="1" hidden="1" x14ac:dyDescent="0.25">
      <c r="A422" s="6">
        <v>820057</v>
      </c>
      <c r="B422" s="6" t="str">
        <f>VLOOKUP(A422,SAP!A214:G536,2,0)</f>
        <v>Pochwyt zlicowany 43mm R07.2 PIN</v>
      </c>
      <c r="C422" s="6" t="str">
        <f>SAP!A98</f>
        <v>R07.2 Biały</v>
      </c>
    </row>
    <row r="423" spans="1:5" s="6" customFormat="1" hidden="1" x14ac:dyDescent="0.25">
      <c r="A423" s="6">
        <v>820058</v>
      </c>
      <c r="B423" s="6" t="str">
        <f>VLOOKUP(A423,SAP!A215:G537,2,0)</f>
        <v>Pochwyt zlicowany 43mm R07.3 PIN</v>
      </c>
      <c r="C423" s="6" t="str">
        <f>SAP!A99</f>
        <v>R07.3 Kremowy</v>
      </c>
    </row>
    <row r="424" spans="1:5" s="6" customFormat="1" hidden="1" x14ac:dyDescent="0.25">
      <c r="A424" s="6">
        <v>820059</v>
      </c>
      <c r="B424" s="6" t="str">
        <f>VLOOKUP(A424,SAP!A216:G538,2,0)</f>
        <v>Pochwyt zlicowany 43mm surowy PIN</v>
      </c>
      <c r="C424" s="6" t="str">
        <f>SAP!A100</f>
        <v>surowy</v>
      </c>
    </row>
    <row r="425" spans="1:5" s="6" customFormat="1" hidden="1" x14ac:dyDescent="0.25">
      <c r="B425" s="107" t="s">
        <v>1213</v>
      </c>
      <c r="C425" s="106">
        <v>1</v>
      </c>
      <c r="D425" s="8">
        <f>IF(C425=1,0,IF(C425=2,A413,IF(C425=3,A414,IF(C425=4,A415,IF(C425=5,A416,IF(C425=6,A417,IF(C425=7,A418,IF(C425=8,A419,IF(C425=9,A420,IF(C425=10,A421,IF(C425=11,A422,IF(C425=12,A423,IF(C425=13,A424)))))))))))))</f>
        <v>0</v>
      </c>
    </row>
    <row r="426" spans="1:5" s="6" customFormat="1" hidden="1" x14ac:dyDescent="0.25">
      <c r="B426" s="107" t="s">
        <v>1214</v>
      </c>
      <c r="C426" s="32">
        <v>1</v>
      </c>
      <c r="D426" s="8">
        <f>IF(C426=1,0,IF(C426=2,A413,IF(C426=3,A414,IF(C426=4,A415,IF(C426=5,A416,IF(C426=6,A417,IF(C426=7,A418,IF(C426=8,A419,IF(C426=9,A420,IF(C426=10,A421,IF(C426=11,A422,IF(C426=12,A423,IF(C426=13,A424)))))))))))))</f>
        <v>0</v>
      </c>
    </row>
    <row r="427" spans="1:5" s="6" customFormat="1" hidden="1" x14ac:dyDescent="0.25">
      <c r="B427" s="107"/>
      <c r="C427" s="110"/>
      <c r="D427" s="113"/>
    </row>
    <row r="428" spans="1:5" s="6" customFormat="1" hidden="1" x14ac:dyDescent="0.25">
      <c r="A428" s="6">
        <v>350401</v>
      </c>
      <c r="B428" s="6" t="str">
        <f>VLOOKUP(A428,SAP!A195:G522,2,0)</f>
        <v>Nakładka naprawcza-łącznik okuć NT</v>
      </c>
      <c r="C428" s="11" t="b">
        <v>0</v>
      </c>
      <c r="D428" s="6">
        <f>IF(C428=TRUE,A428,0)</f>
        <v>0</v>
      </c>
    </row>
    <row r="429" spans="1:5" s="6" customFormat="1" hidden="1" x14ac:dyDescent="0.25">
      <c r="A429" s="5"/>
      <c r="B429" s="5"/>
      <c r="C429" s="5"/>
      <c r="D429" s="5"/>
      <c r="E429" s="5"/>
    </row>
  </sheetData>
  <sheetProtection password="DD29" sheet="1" objects="1" scenarios="1"/>
  <mergeCells count="1">
    <mergeCell ref="A18:B20"/>
  </mergeCells>
  <conditionalFormatting sqref="B39">
    <cfRule type="containsText" dxfId="13" priority="1" operator="containsText" text="DOBÓR NIEMOŻLIWY">
      <formula>NOT(ISERROR(SEARCH("DOBÓR NIEMOŻLIWY",B39)))</formula>
    </cfRule>
  </conditionalFormatting>
  <hyperlinks>
    <hyperlink ref="A5" location="'Schemat A'!A1" display="Schemat A"/>
    <hyperlink ref="A6" location="'Schemat A′'!A1" display="Schemat A'"/>
    <hyperlink ref="A7" location="'Schemat C'!A1" display="Schemat C"/>
    <hyperlink ref="A8" location="'Schemat C′'!A1" display="Schemat C'"/>
    <hyperlink ref="A9" location="'Schemat K'!A1" display="Schemat K"/>
    <hyperlink ref="A10" location="'Schemat K′'!A1" display="Schemat K'"/>
    <hyperlink ref="D1" location="'Schemat A'!A1" display="Powrót "/>
    <hyperlink ref="B73" location="Szablony!A1" display="Zamówienie szablonów"/>
  </hyperlinks>
  <pageMargins left="0.7" right="0.7" top="0.75" bottom="0.75" header="0.3" footer="0.3"/>
  <pageSetup paperSize="9" orientation="portrait" r:id="rId1"/>
  <ignoredErrors>
    <ignoredError sqref="C6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1" r:id="rId4" name="List Box 11">
              <controlPr defaultSize="0" autoLine="0" autoPict="0">
                <anchor moveWithCells="1">
                  <from>
                    <xdr:col>1</xdr:col>
                    <xdr:colOff>2809875</xdr:colOff>
                    <xdr:row>20</xdr:row>
                    <xdr:rowOff>19050</xdr:rowOff>
                  </from>
                  <to>
                    <xdr:col>2</xdr:col>
                    <xdr:colOff>847725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5" name="List Box 12">
              <controlPr defaultSize="0" autoLine="0" autoPict="0">
                <anchor moveWithCells="1">
                  <from>
                    <xdr:col>1</xdr:col>
                    <xdr:colOff>3438525</xdr:colOff>
                    <xdr:row>4</xdr:row>
                    <xdr:rowOff>0</xdr:rowOff>
                  </from>
                  <to>
                    <xdr:col>2</xdr:col>
                    <xdr:colOff>847725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6" name="List Box 13">
              <controlPr defaultSize="0" autoLine="0" autoPict="0">
                <anchor moveWithCells="1">
                  <from>
                    <xdr:col>0</xdr:col>
                    <xdr:colOff>28575</xdr:colOff>
                    <xdr:row>25</xdr:row>
                    <xdr:rowOff>200025</xdr:rowOff>
                  </from>
                  <to>
                    <xdr:col>1</xdr:col>
                    <xdr:colOff>733425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7" name="List Box 14">
              <controlPr defaultSize="0" autoLine="0" autoPict="0">
                <anchor moveWithCells="1">
                  <from>
                    <xdr:col>1</xdr:col>
                    <xdr:colOff>1057275</xdr:colOff>
                    <xdr:row>27</xdr:row>
                    <xdr:rowOff>66675</xdr:rowOff>
                  </from>
                  <to>
                    <xdr:col>1</xdr:col>
                    <xdr:colOff>2600325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8" name="Drop Down 15">
              <controlPr defaultSize="0" autoLine="0" autoPict="0">
                <anchor moveWithCells="1">
                  <from>
                    <xdr:col>0</xdr:col>
                    <xdr:colOff>28575</xdr:colOff>
                    <xdr:row>33</xdr:row>
                    <xdr:rowOff>9525</xdr:rowOff>
                  </from>
                  <to>
                    <xdr:col>1</xdr:col>
                    <xdr:colOff>723900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9" name="Drop Down 16">
              <controlPr defaultSize="0" autoLine="0" autoPict="0">
                <anchor moveWithCells="1">
                  <from>
                    <xdr:col>0</xdr:col>
                    <xdr:colOff>9525</xdr:colOff>
                    <xdr:row>30</xdr:row>
                    <xdr:rowOff>200025</xdr:rowOff>
                  </from>
                  <to>
                    <xdr:col>1</xdr:col>
                    <xdr:colOff>714375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0" name="List Box 17">
              <controlPr defaultSize="0" autoLine="0" autoPict="0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1</xdr:col>
                    <xdr:colOff>1895475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1" name="List Box 18">
              <controlPr defaultSize="0" autoLine="0" autoPict="0">
                <anchor moveWithCells="1">
                  <from>
                    <xdr:col>1</xdr:col>
                    <xdr:colOff>2819400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12" name="Drop Down 19">
              <controlPr defaultSize="0" autoLine="0" autoPict="0">
                <anchor moveWithCells="1">
                  <from>
                    <xdr:col>1</xdr:col>
                    <xdr:colOff>2819400</xdr:colOff>
                    <xdr:row>33</xdr:row>
                    <xdr:rowOff>19050</xdr:rowOff>
                  </from>
                  <to>
                    <xdr:col>2</xdr:col>
                    <xdr:colOff>847725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13" name="Drop Down 20">
              <controlPr defaultSize="0" autoLine="0" autoPict="0">
                <anchor moveWithCells="1">
                  <from>
                    <xdr:col>1</xdr:col>
                    <xdr:colOff>2828925</xdr:colOff>
                    <xdr:row>31</xdr:row>
                    <xdr:rowOff>9525</xdr:rowOff>
                  </from>
                  <to>
                    <xdr:col>3</xdr:col>
                    <xdr:colOff>9525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14" name="Drop Down 21">
              <controlPr defaultSize="0" autoLine="0" autoPict="0">
                <anchor moveWithCells="1">
                  <from>
                    <xdr:col>0</xdr:col>
                    <xdr:colOff>9525</xdr:colOff>
                    <xdr:row>24</xdr:row>
                    <xdr:rowOff>0</xdr:rowOff>
                  </from>
                  <to>
                    <xdr:col>1</xdr:col>
                    <xdr:colOff>733425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15" name="Drop Down 22">
              <controlPr defaultSize="0" autoLine="0" autoPict="0">
                <anchor moveWithCells="1">
                  <from>
                    <xdr:col>1</xdr:col>
                    <xdr:colOff>2819400</xdr:colOff>
                    <xdr:row>24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16" name="List Box 23">
              <controlPr defaultSize="0" autoLine="0" autoPict="0">
                <anchor moveWithCells="1">
                  <from>
                    <xdr:col>3</xdr:col>
                    <xdr:colOff>323850</xdr:colOff>
                    <xdr:row>1</xdr:row>
                    <xdr:rowOff>57150</xdr:rowOff>
                  </from>
                  <to>
                    <xdr:col>3</xdr:col>
                    <xdr:colOff>714375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17" name="Check Box 24">
              <controlPr defaultSize="0" autoFill="0" autoLine="0" autoPict="0">
                <anchor moveWithCells="1">
                  <from>
                    <xdr:col>1</xdr:col>
                    <xdr:colOff>971550</xdr:colOff>
                    <xdr:row>35</xdr:row>
                    <xdr:rowOff>190500</xdr:rowOff>
                  </from>
                  <to>
                    <xdr:col>1</xdr:col>
                    <xdr:colOff>2628900</xdr:colOff>
                    <xdr:row>36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DOBÓR NIEMOŻLIWY" id="{93413A89-31C2-47FA-BC73-A18A280D0151}">
            <xm:f>NOT(ISERROR(SEARCH("DOBÓR NIEMOŻLIWY",'Schemat C'!B45)))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A1:D21"/>
  <sheetViews>
    <sheetView zoomScale="70" zoomScaleNormal="70" workbookViewId="0">
      <selection activeCell="D1" sqref="D1"/>
    </sheetView>
  </sheetViews>
  <sheetFormatPr defaultRowHeight="15" x14ac:dyDescent="0.25"/>
  <cols>
    <col min="1" max="1" width="12.5703125" customWidth="1"/>
    <col min="2" max="2" width="52.5703125" customWidth="1"/>
    <col min="3" max="3" width="12.85546875" customWidth="1"/>
    <col min="4" max="4" width="15.5703125" bestFit="1" customWidth="1"/>
  </cols>
  <sheetData>
    <row r="1" spans="1:4" x14ac:dyDescent="0.25">
      <c r="A1" s="2"/>
      <c r="B1" s="2"/>
      <c r="C1" s="2"/>
      <c r="D1" s="4" t="str">
        <f>SAP!A32</f>
        <v xml:space="preserve">Powrót </v>
      </c>
    </row>
    <row r="2" spans="1:4" ht="31.5" x14ac:dyDescent="0.5">
      <c r="A2" s="3" t="s">
        <v>59</v>
      </c>
      <c r="B2" s="2"/>
      <c r="C2" s="2"/>
      <c r="D2" s="2"/>
    </row>
    <row r="3" spans="1:4" x14ac:dyDescent="0.25">
      <c r="A3" s="2"/>
      <c r="B3" s="2"/>
      <c r="C3" s="2"/>
      <c r="D3" s="2"/>
    </row>
    <row r="4" spans="1:4" ht="15.75" x14ac:dyDescent="0.25">
      <c r="A4" s="2"/>
      <c r="B4" s="34" t="str">
        <f>SAP!A119</f>
        <v>W przygotowaniu</v>
      </c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sheetProtection password="DD29" sheet="1" objects="1" scenarios="1"/>
  <hyperlinks>
    <hyperlink ref="D1" location="'Schemat A'!A1" display="Powrót 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List Box 1">
              <controlPr defaultSize="0" autoLine="0" autoPict="0">
                <anchor moveWithCells="1">
                  <from>
                    <xdr:col>3</xdr:col>
                    <xdr:colOff>333375</xdr:colOff>
                    <xdr:row>1</xdr:row>
                    <xdr:rowOff>57150</xdr:rowOff>
                  </from>
                  <to>
                    <xdr:col>3</xdr:col>
                    <xdr:colOff>723900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A1:D21"/>
  <sheetViews>
    <sheetView zoomScale="70" zoomScaleNormal="70" workbookViewId="0">
      <selection activeCell="D5" sqref="D5"/>
    </sheetView>
  </sheetViews>
  <sheetFormatPr defaultRowHeight="15" x14ac:dyDescent="0.25"/>
  <cols>
    <col min="1" max="1" width="12.5703125" customWidth="1"/>
    <col min="2" max="2" width="52.5703125" customWidth="1"/>
    <col min="3" max="3" width="12.85546875" customWidth="1"/>
    <col min="4" max="4" width="15.5703125" bestFit="1" customWidth="1"/>
  </cols>
  <sheetData>
    <row r="1" spans="1:4" x14ac:dyDescent="0.25">
      <c r="A1" s="2"/>
      <c r="B1" s="2"/>
      <c r="C1" s="2"/>
      <c r="D1" s="4" t="s">
        <v>228</v>
      </c>
    </row>
    <row r="2" spans="1:4" ht="31.5" x14ac:dyDescent="0.5">
      <c r="A2" s="3" t="s">
        <v>59</v>
      </c>
      <c r="B2" s="2"/>
      <c r="C2" s="2"/>
      <c r="D2" s="2"/>
    </row>
    <row r="3" spans="1:4" x14ac:dyDescent="0.25">
      <c r="A3" s="2"/>
      <c r="B3" s="2"/>
      <c r="C3" s="2"/>
      <c r="D3" s="2"/>
    </row>
    <row r="4" spans="1:4" ht="15.75" x14ac:dyDescent="0.25">
      <c r="A4" s="2"/>
      <c r="B4" s="34" t="str">
        <f>SAP!A119</f>
        <v>W przygotowaniu</v>
      </c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sheetProtection password="DD29" sheet="1" objects="1" scenarios="1"/>
  <hyperlinks>
    <hyperlink ref="D1" location="'Schemat A'!A1" display="Powrót 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List Box 1">
              <controlPr defaultSize="0" autoLine="0" autoPict="0">
                <anchor moveWithCells="1">
                  <from>
                    <xdr:col>3</xdr:col>
                    <xdr:colOff>333375</xdr:colOff>
                    <xdr:row>1</xdr:row>
                    <xdr:rowOff>57150</xdr:rowOff>
                  </from>
                  <to>
                    <xdr:col>3</xdr:col>
                    <xdr:colOff>723900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8"/>
  <dimension ref="A1:D181"/>
  <sheetViews>
    <sheetView zoomScale="70" zoomScaleNormal="70" workbookViewId="0">
      <selection activeCell="D1" sqref="D1"/>
    </sheetView>
  </sheetViews>
  <sheetFormatPr defaultRowHeight="15" x14ac:dyDescent="0.25"/>
  <cols>
    <col min="1" max="1" width="12.5703125" style="37" customWidth="1"/>
    <col min="2" max="2" width="77.7109375" style="37" bestFit="1" customWidth="1"/>
    <col min="3" max="3" width="16.140625" style="37" bestFit="1" customWidth="1"/>
    <col min="4" max="4" width="15.5703125" style="37" bestFit="1" customWidth="1"/>
    <col min="5" max="16384" width="9.140625" style="37"/>
  </cols>
  <sheetData>
    <row r="1" spans="1:4" x14ac:dyDescent="0.25">
      <c r="A1" s="35"/>
      <c r="B1" s="35"/>
      <c r="C1" s="35"/>
      <c r="D1" s="36" t="str">
        <f>SAP!A32</f>
        <v xml:space="preserve">Powrót </v>
      </c>
    </row>
    <row r="2" spans="1:4" ht="31.5" x14ac:dyDescent="0.5">
      <c r="A2" s="38" t="s">
        <v>59</v>
      </c>
      <c r="B2" s="35"/>
      <c r="C2" s="35"/>
      <c r="D2" s="35"/>
    </row>
    <row r="3" spans="1:4" x14ac:dyDescent="0.25">
      <c r="A3" s="35" t="str">
        <f>SAP!A16</f>
        <v>(dobór przygotowany wg instrukcji IMO_403_DE_v7)</v>
      </c>
      <c r="B3" s="35"/>
      <c r="C3" s="35"/>
      <c r="D3" s="35"/>
    </row>
    <row r="4" spans="1:4" x14ac:dyDescent="0.25">
      <c r="B4" s="35"/>
      <c r="C4" s="35"/>
    </row>
    <row r="5" spans="1:4" x14ac:dyDescent="0.25">
      <c r="A5" s="75"/>
      <c r="B5" s="35"/>
      <c r="C5" s="35"/>
    </row>
    <row r="6" spans="1:4" x14ac:dyDescent="0.25">
      <c r="A6" s="75"/>
      <c r="B6" s="35"/>
      <c r="C6" s="35"/>
    </row>
    <row r="7" spans="1:4" x14ac:dyDescent="0.25">
      <c r="A7" s="75"/>
      <c r="B7" s="35"/>
      <c r="C7" s="35"/>
    </row>
    <row r="8" spans="1:4" x14ac:dyDescent="0.25">
      <c r="A8" s="75"/>
      <c r="B8" s="35"/>
      <c r="C8" s="35"/>
    </row>
    <row r="9" spans="1:4" x14ac:dyDescent="0.25">
      <c r="A9" s="75"/>
      <c r="B9" s="35"/>
      <c r="C9" s="35"/>
    </row>
    <row r="10" spans="1:4" x14ac:dyDescent="0.25">
      <c r="A10" s="75"/>
      <c r="B10" s="35"/>
      <c r="C10" s="35"/>
    </row>
    <row r="11" spans="1:4" x14ac:dyDescent="0.25">
      <c r="A11" s="75"/>
      <c r="B11" s="35"/>
      <c r="C11" s="35"/>
    </row>
    <row r="12" spans="1:4" x14ac:dyDescent="0.25">
      <c r="A12" s="75"/>
      <c r="B12" s="35"/>
      <c r="C12" s="35"/>
    </row>
    <row r="13" spans="1:4" x14ac:dyDescent="0.25">
      <c r="A13" s="76" t="s">
        <v>31</v>
      </c>
      <c r="B13" s="35" t="str">
        <f>SAP!A66</f>
        <v>Artykuł</v>
      </c>
      <c r="C13" s="35" t="str">
        <f>SAP!A67</f>
        <v>Ilość szt .</v>
      </c>
    </row>
    <row r="14" spans="1:4" x14ac:dyDescent="0.25">
      <c r="A14" s="76">
        <v>799034</v>
      </c>
      <c r="B14" s="76" t="str">
        <f>IF(SAP!$A$7=1,VLOOKUP(A14,SAP!$1:$1048576,2,FALSE),IF(SAP!$A$7=2,VLOOKUP(A14,SAP!$1:$1048576,5,FALSE),IF(SAP!$A$7=3,VLOOKUP(A14,SAP!$1:$1048576,6,FALSE),IF(SAP!$A$7=4,VLOOKUP(A14,SAP!$1:$1048576,7,FALSE)))))</f>
        <v>Przymiar wiert. wózka/jedno.ster.41 PIN</v>
      </c>
      <c r="C14" s="80">
        <v>0</v>
      </c>
    </row>
    <row r="15" spans="1:4" x14ac:dyDescent="0.25">
      <c r="A15" s="76">
        <f>SAP!A399</f>
        <v>799033</v>
      </c>
      <c r="B15" s="76" t="str">
        <f>IF(SAP!$A$7=1,VLOOKUP(A15,SAP!$1:$1048576,2,FALSE),IF(SAP!$A$7=2,VLOOKUP(A15,SAP!$1:$1048576,5,FALSE),IF(SAP!$A$7=3,VLOOKUP(A15,SAP!$1:$1048576,6,FALSE),IF(SAP!$A$7=4,VLOOKUP(A15,SAP!$1:$1048576,7,FALSE)))))</f>
        <v>Przymiar wiert. wózka/jedno.ster.PIN ALU</v>
      </c>
      <c r="C15" s="80">
        <v>0</v>
      </c>
    </row>
    <row r="16" spans="1:4" x14ac:dyDescent="0.25">
      <c r="B16" s="35"/>
      <c r="C16" s="35"/>
    </row>
    <row r="17" spans="1:3" x14ac:dyDescent="0.25">
      <c r="A17" s="75"/>
      <c r="B17" s="35"/>
      <c r="C17" s="35"/>
    </row>
    <row r="18" spans="1:3" x14ac:dyDescent="0.25">
      <c r="A18" s="75"/>
      <c r="B18" s="35"/>
      <c r="C18" s="35"/>
    </row>
    <row r="19" spans="1:3" x14ac:dyDescent="0.25">
      <c r="A19" s="75"/>
      <c r="B19" s="35"/>
      <c r="C19" s="35"/>
    </row>
    <row r="20" spans="1:3" x14ac:dyDescent="0.25">
      <c r="A20" s="75"/>
      <c r="B20" s="35"/>
      <c r="C20" s="35"/>
    </row>
    <row r="21" spans="1:3" x14ac:dyDescent="0.25">
      <c r="A21" s="75"/>
      <c r="B21" s="35"/>
      <c r="C21" s="35"/>
    </row>
    <row r="22" spans="1:3" x14ac:dyDescent="0.25">
      <c r="A22" s="75"/>
      <c r="B22" s="35"/>
      <c r="C22" s="35"/>
    </row>
    <row r="23" spans="1:3" x14ac:dyDescent="0.25">
      <c r="A23" s="75"/>
      <c r="B23" s="35"/>
      <c r="C23" s="35"/>
    </row>
    <row r="24" spans="1:3" x14ac:dyDescent="0.25">
      <c r="A24" s="75"/>
      <c r="B24" s="35"/>
      <c r="C24" s="35"/>
    </row>
    <row r="25" spans="1:3" x14ac:dyDescent="0.25">
      <c r="A25" s="75"/>
      <c r="B25" s="35"/>
      <c r="C25" s="35"/>
    </row>
    <row r="26" spans="1:3" x14ac:dyDescent="0.25">
      <c r="A26" s="75"/>
      <c r="B26" s="35"/>
      <c r="C26" s="35"/>
    </row>
    <row r="27" spans="1:3" x14ac:dyDescent="0.25">
      <c r="A27" s="76" t="s">
        <v>31</v>
      </c>
      <c r="B27" s="35" t="str">
        <f>SAP!A66</f>
        <v>Artykuł</v>
      </c>
      <c r="C27" s="35" t="str">
        <f>SAP!A67</f>
        <v>Ilość szt .</v>
      </c>
    </row>
    <row r="28" spans="1:3" x14ac:dyDescent="0.25">
      <c r="A28" s="76">
        <v>799032</v>
      </c>
      <c r="B28" s="76" t="str">
        <f>IF(SAP!$A$7=1,VLOOKUP(A28,SAP!$1:$1048576,2,FALSE),IF(SAP!$A$7=2,VLOOKUP(A28,SAP!$1:$1048576,5,FALSE),IF(SAP!$A$7=3,VLOOKUP(A28,SAP!$1:$1048576,6,FALSE),IF(SAP!$A$7=4,VLOOKUP(A28,SAP!$1:$1048576,7,FALSE)))))</f>
        <v>Przymiar wiert. docisku międzyzaw.41 PIN</v>
      </c>
      <c r="C28" s="80">
        <v>0</v>
      </c>
    </row>
    <row r="29" spans="1:3" x14ac:dyDescent="0.25">
      <c r="A29" s="76">
        <f>SAP!A401</f>
        <v>799031</v>
      </c>
      <c r="B29" s="76" t="str">
        <f>IF(SAP!$A$7=1,VLOOKUP(A29,SAP!$1:$1048576,2,FALSE),IF(SAP!$A$7=2,VLOOKUP(A29,SAP!$1:$1048576,5,FALSE),IF(SAP!$A$7=3,VLOOKUP(A29,SAP!$1:$1048576,6,FALSE),IF(SAP!$A$7=4,VLOOKUP(A29,SAP!$1:$1048576,7,FALSE)))))</f>
        <v>Przymiar wiert. docisku międzyzaw.PIN ALU</v>
      </c>
      <c r="C29" s="80">
        <v>0</v>
      </c>
    </row>
    <row r="30" spans="1:3" x14ac:dyDescent="0.25">
      <c r="B30" s="35"/>
      <c r="C30" s="35"/>
    </row>
    <row r="31" spans="1:3" x14ac:dyDescent="0.25">
      <c r="A31" s="75"/>
      <c r="B31" s="35"/>
      <c r="C31" s="35"/>
    </row>
    <row r="32" spans="1:3" x14ac:dyDescent="0.25">
      <c r="A32" s="75"/>
      <c r="B32" s="35"/>
      <c r="C32" s="35"/>
    </row>
    <row r="33" spans="1:3" x14ac:dyDescent="0.25">
      <c r="A33" s="75"/>
      <c r="B33" s="35"/>
      <c r="C33" s="35"/>
    </row>
    <row r="34" spans="1:3" x14ac:dyDescent="0.25">
      <c r="A34" s="75"/>
      <c r="B34" s="35"/>
      <c r="C34" s="35"/>
    </row>
    <row r="35" spans="1:3" x14ac:dyDescent="0.25">
      <c r="A35" s="75"/>
      <c r="B35" s="35"/>
      <c r="C35" s="35"/>
    </row>
    <row r="36" spans="1:3" x14ac:dyDescent="0.25">
      <c r="A36" s="75"/>
      <c r="B36" s="35"/>
      <c r="C36" s="35"/>
    </row>
    <row r="37" spans="1:3" x14ac:dyDescent="0.25">
      <c r="A37" s="75"/>
      <c r="B37" s="35"/>
      <c r="C37" s="35"/>
    </row>
    <row r="38" spans="1:3" x14ac:dyDescent="0.25">
      <c r="A38" s="75"/>
      <c r="B38" s="35"/>
      <c r="C38" s="35"/>
    </row>
    <row r="39" spans="1:3" x14ac:dyDescent="0.25">
      <c r="A39" s="75"/>
      <c r="B39" s="35"/>
      <c r="C39" s="35"/>
    </row>
    <row r="40" spans="1:3" x14ac:dyDescent="0.25">
      <c r="A40" s="79" t="s">
        <v>31</v>
      </c>
      <c r="B40" s="35" t="str">
        <f>SAP!A66</f>
        <v>Artykuł</v>
      </c>
      <c r="C40" s="35" t="str">
        <f>SAP!A67</f>
        <v>Ilość szt .</v>
      </c>
    </row>
    <row r="41" spans="1:3" x14ac:dyDescent="0.25">
      <c r="A41" s="76">
        <v>772626</v>
      </c>
      <c r="B41" s="76" t="str">
        <f>IF(SAP!$A$7=1,VLOOKUP(A41,SAP!$1:$1048576,2,FALSE),IF(SAP!$A$7=2,VLOOKUP(A41,SAP!$1:$1048576,5,FALSE),IF(SAP!$A$7=3,VLOOKUP(A41,SAP!$1:$1048576,6,FALSE),IF(SAP!$A$7=4,VLOOKUP(A41,SAP!$1:$1048576,7,FALSE)))))</f>
        <v>Przymiar ustaw. zaczepu p-wyw PIN</v>
      </c>
      <c r="C41" s="80">
        <v>0</v>
      </c>
    </row>
    <row r="42" spans="1:3" x14ac:dyDescent="0.25">
      <c r="A42" s="35"/>
      <c r="B42" s="35"/>
      <c r="C42" s="35"/>
    </row>
    <row r="43" spans="1:3" x14ac:dyDescent="0.25">
      <c r="A43" s="75"/>
      <c r="B43" s="35"/>
      <c r="C43" s="35"/>
    </row>
    <row r="44" spans="1:3" x14ac:dyDescent="0.25">
      <c r="A44" s="75"/>
      <c r="B44" s="35"/>
      <c r="C44" s="35"/>
    </row>
    <row r="45" spans="1:3" x14ac:dyDescent="0.25">
      <c r="A45" s="75"/>
      <c r="B45" s="35"/>
      <c r="C45" s="35"/>
    </row>
    <row r="46" spans="1:3" x14ac:dyDescent="0.25">
      <c r="A46" s="75"/>
      <c r="B46" s="35"/>
      <c r="C46" s="35"/>
    </row>
    <row r="47" spans="1:3" x14ac:dyDescent="0.25">
      <c r="A47" s="75"/>
      <c r="B47" s="35"/>
      <c r="C47" s="35"/>
    </row>
    <row r="48" spans="1:3" x14ac:dyDescent="0.25">
      <c r="A48" s="75"/>
      <c r="B48" s="35"/>
      <c r="C48" s="35"/>
    </row>
    <row r="49" spans="1:3" x14ac:dyDescent="0.25">
      <c r="A49" s="75"/>
      <c r="B49" s="35"/>
      <c r="C49" s="35"/>
    </row>
    <row r="50" spans="1:3" x14ac:dyDescent="0.25">
      <c r="A50" s="75"/>
      <c r="B50" s="35"/>
      <c r="C50" s="35"/>
    </row>
    <row r="51" spans="1:3" x14ac:dyDescent="0.25">
      <c r="A51" s="75"/>
      <c r="B51" s="35"/>
      <c r="C51" s="35"/>
    </row>
    <row r="52" spans="1:3" x14ac:dyDescent="0.25">
      <c r="A52" s="79" t="s">
        <v>31</v>
      </c>
      <c r="B52" s="35" t="str">
        <f>SAP!A66</f>
        <v>Artykuł</v>
      </c>
      <c r="C52" s="35" t="str">
        <f>SAP!A67</f>
        <v>Ilość szt .</v>
      </c>
    </row>
    <row r="53" spans="1:3" x14ac:dyDescent="0.25">
      <c r="A53" s="76">
        <v>811973</v>
      </c>
      <c r="B53" s="76" t="str">
        <f>IF(SAP!$A$7=1,VLOOKUP(A53,SAP!$1:$1048576,2,FALSE),IF(SAP!$A$7=2,VLOOKUP(A53,SAP!$1:$1048576,5,FALSE),IF(SAP!$A$7=3,VLOOKUP(A53,SAP!$1:$1048576,6,FALSE),IF(SAP!$A$7=4,VLOOKUP(A53,SAP!$1:$1048576,7,FALSE)))))</f>
        <v>Przymiar wiert.zacz.docisk.międzyzaw.PIN 84mm</v>
      </c>
      <c r="C53" s="80">
        <v>0</v>
      </c>
    </row>
    <row r="54" spans="1:3" x14ac:dyDescent="0.25">
      <c r="A54" s="76">
        <v>807972</v>
      </c>
      <c r="B54" s="76" t="str">
        <f>IF(SAP!$A$7=1,VLOOKUP(A54,SAP!$1:$1048576,2,FALSE),IF(SAP!$A$7=2,VLOOKUP(A54,SAP!$1:$1048576,5,FALSE),IF(SAP!$A$7=3,VLOOKUP(A54,SAP!$1:$1048576,6,FALSE),IF(SAP!$A$7=4,VLOOKUP(A54,SAP!$1:$1048576,7,FALSE)))))</f>
        <v>Przymiar wiert.zacz.docisk.międzyzaw.PIN 104mm</v>
      </c>
      <c r="C54" s="80">
        <v>0</v>
      </c>
    </row>
    <row r="55" spans="1:3" x14ac:dyDescent="0.25">
      <c r="A55" s="76">
        <v>809328</v>
      </c>
      <c r="B55" s="76" t="str">
        <f>IF(SAP!$A$7=1,VLOOKUP(A55,SAP!$1:$1048576,2,FALSE),IF(SAP!$A$7=2,VLOOKUP(A55,SAP!$1:$1048576,5,FALSE),IF(SAP!$A$7=3,VLOOKUP(A55,SAP!$1:$1048576,6,FALSE),IF(SAP!$A$7=4,VLOOKUP(A55,SAP!$1:$1048576,7,FALSE)))))</f>
        <v>Przymiar wiert.docisk.międzyz GEALAN PIN</v>
      </c>
      <c r="C55" s="80">
        <v>0</v>
      </c>
    </row>
    <row r="56" spans="1:3" x14ac:dyDescent="0.25">
      <c r="A56" s="76">
        <f>SAP!A406</f>
        <v>817229</v>
      </c>
      <c r="B56" s="76" t="str">
        <f>IF(SAP!$A$7=1,VLOOKUP(A56,SAP!$1:$1048576,2,FALSE),IF(SAP!$A$7=2,VLOOKUP(A56,SAP!$1:$1048576,5,FALSE),IF(SAP!$A$7=3,VLOOKUP(A56,SAP!$1:$1048576,6,FALSE),IF(SAP!$A$7=4,VLOOKUP(A56,SAP!$1:$1048576,7,FALSE)))))</f>
        <v>Przymiar wiert.docisk.międzyPIN ALU</v>
      </c>
      <c r="C56" s="80">
        <v>0</v>
      </c>
    </row>
    <row r="57" spans="1:3" x14ac:dyDescent="0.25">
      <c r="A57" s="35"/>
      <c r="B57" s="35"/>
      <c r="C57" s="35"/>
    </row>
    <row r="58" spans="1:3" x14ac:dyDescent="0.25">
      <c r="A58" s="75"/>
      <c r="B58" s="35"/>
      <c r="C58" s="35"/>
    </row>
    <row r="59" spans="1:3" x14ac:dyDescent="0.25">
      <c r="A59" s="75"/>
      <c r="B59" s="35"/>
      <c r="C59" s="35"/>
    </row>
    <row r="60" spans="1:3" x14ac:dyDescent="0.25">
      <c r="A60" s="75"/>
      <c r="B60" s="35"/>
      <c r="C60" s="35"/>
    </row>
    <row r="61" spans="1:3" x14ac:dyDescent="0.25">
      <c r="A61" s="75"/>
      <c r="B61" s="35"/>
      <c r="C61" s="35"/>
    </row>
    <row r="62" spans="1:3" x14ac:dyDescent="0.25">
      <c r="A62" s="75"/>
      <c r="B62" s="35"/>
      <c r="C62" s="35"/>
    </row>
    <row r="63" spans="1:3" x14ac:dyDescent="0.25">
      <c r="A63" s="75"/>
      <c r="B63" s="35"/>
      <c r="C63" s="35"/>
    </row>
    <row r="64" spans="1:3" x14ac:dyDescent="0.25">
      <c r="A64" s="75"/>
      <c r="B64" s="35"/>
      <c r="C64" s="35"/>
    </row>
    <row r="65" spans="1:3" x14ac:dyDescent="0.25">
      <c r="A65" s="75"/>
      <c r="B65" s="35"/>
      <c r="C65" s="35"/>
    </row>
    <row r="66" spans="1:3" x14ac:dyDescent="0.25">
      <c r="A66" s="75"/>
      <c r="B66" s="35"/>
      <c r="C66" s="35"/>
    </row>
    <row r="67" spans="1:3" x14ac:dyDescent="0.25">
      <c r="A67" s="79" t="s">
        <v>31</v>
      </c>
      <c r="B67" s="35" t="str">
        <f>SAP!$A$66</f>
        <v>Artykuł</v>
      </c>
      <c r="C67" s="35" t="str">
        <f>SAP!$A$67</f>
        <v>Ilość szt .</v>
      </c>
    </row>
    <row r="68" spans="1:3" x14ac:dyDescent="0.25">
      <c r="A68" s="76">
        <v>834696</v>
      </c>
      <c r="B68" s="76" t="str">
        <f>IF(SAP!$A$7=1,VLOOKUP(A68,SAP!$1:$1048576,2,FALSE),IF(SAP!$A$7=2,VLOOKUP(A68,SAP!$1:$1048576,5,FALSE),IF(SAP!$A$7=3,VLOOKUP(A68,SAP!$1:$1048576,6,FALSE),IF(SAP!$A$7=4,VLOOKUP(A68,SAP!$1:$1048576,7,FALSE)))))</f>
        <v>Szablon zaczepu p-wyw RC2 Aluplast PIN</v>
      </c>
      <c r="C68" s="80">
        <v>0</v>
      </c>
    </row>
    <row r="69" spans="1:3" x14ac:dyDescent="0.25">
      <c r="A69" s="76">
        <v>834689</v>
      </c>
      <c r="B69" s="76" t="str">
        <f>IF(SAP!$A$7=1,VLOOKUP(A69,SAP!$1:$1048576,2,FALSE),IF(SAP!$A$7=2,VLOOKUP(A69,SAP!$1:$1048576,5,FALSE),IF(SAP!$A$7=3,VLOOKUP(A69,SAP!$1:$1048576,6,FALSE),IF(SAP!$A$7=4,VLOOKUP(A69,SAP!$1:$1048576,7,FALSE)))))</f>
        <v>Szablon zaczepu p-wyw RC2 Gealan PIN</v>
      </c>
      <c r="C69" s="80">
        <v>0</v>
      </c>
    </row>
    <row r="70" spans="1:3" x14ac:dyDescent="0.25">
      <c r="A70" s="35"/>
      <c r="B70" s="35"/>
      <c r="C70" s="35"/>
    </row>
    <row r="71" spans="1:3" x14ac:dyDescent="0.25">
      <c r="A71" s="75"/>
      <c r="B71" s="35"/>
      <c r="C71" s="35"/>
    </row>
    <row r="72" spans="1:3" x14ac:dyDescent="0.25">
      <c r="A72" s="75"/>
      <c r="B72" s="35"/>
      <c r="C72" s="35"/>
    </row>
    <row r="73" spans="1:3" x14ac:dyDescent="0.25">
      <c r="A73" s="75"/>
      <c r="B73" s="35"/>
      <c r="C73" s="35"/>
    </row>
    <row r="74" spans="1:3" x14ac:dyDescent="0.25">
      <c r="A74" s="75"/>
      <c r="B74" s="35"/>
      <c r="C74" s="35"/>
    </row>
    <row r="75" spans="1:3" x14ac:dyDescent="0.25">
      <c r="A75" s="75"/>
      <c r="B75" s="35"/>
      <c r="C75" s="35"/>
    </row>
    <row r="76" spans="1:3" x14ac:dyDescent="0.25">
      <c r="A76" s="75"/>
      <c r="B76" s="35"/>
      <c r="C76" s="35"/>
    </row>
    <row r="77" spans="1:3" x14ac:dyDescent="0.25">
      <c r="A77" s="75"/>
      <c r="B77" s="35"/>
      <c r="C77" s="35"/>
    </row>
    <row r="78" spans="1:3" x14ac:dyDescent="0.25">
      <c r="A78" s="75"/>
      <c r="B78" s="35"/>
      <c r="C78" s="35"/>
    </row>
    <row r="79" spans="1:3" x14ac:dyDescent="0.25">
      <c r="A79" s="75"/>
      <c r="B79" s="35"/>
      <c r="C79" s="35"/>
    </row>
    <row r="80" spans="1:3" x14ac:dyDescent="0.25">
      <c r="A80" s="79" t="s">
        <v>31</v>
      </c>
      <c r="B80" s="35" t="str">
        <f>SAP!$A$66</f>
        <v>Artykuł</v>
      </c>
      <c r="C80" s="35" t="str">
        <f>SAP!$A$67</f>
        <v>Ilość szt .</v>
      </c>
    </row>
    <row r="81" spans="1:3" x14ac:dyDescent="0.25">
      <c r="A81" s="76">
        <v>834697</v>
      </c>
      <c r="B81" s="76" t="str">
        <f>IF(SAP!$A$7=1,VLOOKUP(A81,SAP!$1:$1048576,2,FALSE),IF(SAP!$A$7=2,VLOOKUP(A81,SAP!$1:$1048576,5,FALSE),IF(SAP!$A$7=3,VLOOKUP(A81,SAP!$1:$1048576,6,FALSE),IF(SAP!$A$7=4,VLOOKUP(A81,SAP!$1:$1048576,7,FALSE)))))</f>
        <v>Szablon zaczepu zabezpiecz. Aluplast PIN</v>
      </c>
      <c r="C81" s="80">
        <v>0</v>
      </c>
    </row>
    <row r="82" spans="1:3" x14ac:dyDescent="0.25">
      <c r="A82" s="76">
        <v>834695</v>
      </c>
      <c r="B82" s="76" t="str">
        <f>IF(SAP!$A$7=1,VLOOKUP(A82,SAP!$1:$1048576,2,FALSE),IF(SAP!$A$7=2,VLOOKUP(A82,SAP!$1:$1048576,5,FALSE),IF(SAP!$A$7=3,VLOOKUP(A82,SAP!$1:$1048576,6,FALSE),IF(SAP!$A$7=4,VLOOKUP(A82,SAP!$1:$1048576,7,FALSE)))))</f>
        <v>Szablon zaczepu zabezpiecz. Gealan PIN</v>
      </c>
      <c r="C82" s="80">
        <v>0</v>
      </c>
    </row>
    <row r="83" spans="1:3" x14ac:dyDescent="0.25">
      <c r="A83" s="35"/>
      <c r="B83" s="35"/>
      <c r="C83" s="35"/>
    </row>
    <row r="84" spans="1:3" x14ac:dyDescent="0.25">
      <c r="A84" s="75"/>
      <c r="B84" s="35"/>
      <c r="C84" s="35"/>
    </row>
    <row r="85" spans="1:3" x14ac:dyDescent="0.25">
      <c r="A85" s="75"/>
      <c r="B85" s="35"/>
      <c r="C85" s="35"/>
    </row>
    <row r="86" spans="1:3" x14ac:dyDescent="0.25">
      <c r="A86" s="75"/>
      <c r="B86" s="35"/>
      <c r="C86" s="35"/>
    </row>
    <row r="87" spans="1:3" x14ac:dyDescent="0.25">
      <c r="A87" s="75"/>
      <c r="B87" s="35"/>
      <c r="C87" s="35"/>
    </row>
    <row r="88" spans="1:3" x14ac:dyDescent="0.25">
      <c r="A88" s="75"/>
      <c r="B88" s="35"/>
      <c r="C88" s="35"/>
    </row>
    <row r="89" spans="1:3" x14ac:dyDescent="0.25">
      <c r="A89" s="75"/>
      <c r="B89" s="35"/>
      <c r="C89" s="35"/>
    </row>
    <row r="90" spans="1:3" x14ac:dyDescent="0.25">
      <c r="A90" s="79" t="s">
        <v>31</v>
      </c>
      <c r="B90" s="35" t="str">
        <f>SAP!A66</f>
        <v>Artykuł</v>
      </c>
      <c r="C90" s="35" t="str">
        <f>SAP!A67</f>
        <v>Ilość szt .</v>
      </c>
    </row>
    <row r="91" spans="1:3" x14ac:dyDescent="0.25">
      <c r="A91" s="76">
        <v>258191</v>
      </c>
      <c r="B91" s="76" t="str">
        <f>IF(SAP!$A$7=1,VLOOKUP(A91,SAP!$1:$1048576,2,FALSE),IF(SAP!$A$7=2,VLOOKUP(A91,SAP!$1:$1048576,5,FALSE),IF(SAP!$A$7=3,VLOOKUP(A91,SAP!$1:$1048576,6,FALSE),IF(SAP!$A$7=4,VLOOKUP(A91,SAP!$1:$1048576,7,FALSE)))))</f>
        <v>sKlucz do regulacji V NT</v>
      </c>
      <c r="C91" s="80">
        <v>0</v>
      </c>
    </row>
    <row r="92" spans="1:3" x14ac:dyDescent="0.25">
      <c r="A92" s="35"/>
      <c r="B92" s="35"/>
      <c r="C92" s="35"/>
    </row>
    <row r="93" spans="1:3" x14ac:dyDescent="0.25">
      <c r="A93" s="75"/>
      <c r="B93" s="35"/>
      <c r="C93" s="35"/>
    </row>
    <row r="94" spans="1:3" x14ac:dyDescent="0.25">
      <c r="A94" s="75"/>
      <c r="B94" s="35"/>
      <c r="C94" s="35"/>
    </row>
    <row r="95" spans="1:3" x14ac:dyDescent="0.25">
      <c r="A95" s="75"/>
      <c r="B95" s="35"/>
      <c r="C95" s="35"/>
    </row>
    <row r="96" spans="1:3" x14ac:dyDescent="0.25">
      <c r="A96" s="75"/>
      <c r="B96" s="35"/>
      <c r="C96" s="35"/>
    </row>
    <row r="97" spans="1:3" x14ac:dyDescent="0.25">
      <c r="A97" s="75"/>
      <c r="B97" s="35"/>
      <c r="C97" s="35"/>
    </row>
    <row r="98" spans="1:3" x14ac:dyDescent="0.25">
      <c r="A98" s="75"/>
      <c r="B98" s="35"/>
      <c r="C98" s="35"/>
    </row>
    <row r="99" spans="1:3" x14ac:dyDescent="0.25">
      <c r="A99" s="75"/>
      <c r="B99" s="35"/>
      <c r="C99" s="35"/>
    </row>
    <row r="100" spans="1:3" x14ac:dyDescent="0.25">
      <c r="A100" s="75"/>
      <c r="B100" s="35"/>
      <c r="C100" s="35"/>
    </row>
    <row r="101" spans="1:3" x14ac:dyDescent="0.25">
      <c r="A101" s="75"/>
      <c r="B101" s="35"/>
      <c r="C101" s="35"/>
    </row>
    <row r="102" spans="1:3" x14ac:dyDescent="0.25">
      <c r="A102" s="79" t="s">
        <v>31</v>
      </c>
      <c r="B102" s="35" t="str">
        <f>SAP!A66</f>
        <v>Artykuł</v>
      </c>
      <c r="C102" s="35" t="str">
        <f>SAP!A67</f>
        <v>Ilość szt .</v>
      </c>
    </row>
    <row r="103" spans="1:3" x14ac:dyDescent="0.25">
      <c r="A103" s="76">
        <v>740068</v>
      </c>
      <c r="B103" s="76" t="str">
        <f>IF(SAP!$A$7=1,VLOOKUP(A103,SAP!$1:$1048576,2,FALSE),IF(SAP!$A$7=2,VLOOKUP(A103,SAP!$1:$1048576,5,FALSE),IF(SAP!$A$7=3,VLOOKUP(A103,SAP!$1:$1048576,6,FALSE),IF(SAP!$A$7=4,VLOOKUP(A103,SAP!$1:$1048576,7,FALSE)))))</f>
        <v>sKlamka montażowa 75mm NT</v>
      </c>
      <c r="C103" s="80">
        <v>0</v>
      </c>
    </row>
    <row r="104" spans="1:3" x14ac:dyDescent="0.25">
      <c r="A104" s="35"/>
      <c r="B104" s="35"/>
      <c r="C104" s="35"/>
    </row>
    <row r="105" spans="1:3" x14ac:dyDescent="0.25">
      <c r="A105" s="81"/>
      <c r="B105" s="35"/>
      <c r="C105" s="35"/>
    </row>
    <row r="106" spans="1:3" x14ac:dyDescent="0.25">
      <c r="A106" s="81"/>
      <c r="B106" s="35"/>
      <c r="C106" s="35"/>
    </row>
    <row r="107" spans="1:3" x14ac:dyDescent="0.25">
      <c r="A107" s="81"/>
      <c r="B107" s="35"/>
      <c r="C107" s="35"/>
    </row>
    <row r="108" spans="1:3" x14ac:dyDescent="0.25">
      <c r="A108" s="81"/>
      <c r="B108" s="35"/>
      <c r="C108" s="35"/>
    </row>
    <row r="109" spans="1:3" x14ac:dyDescent="0.25">
      <c r="A109" s="81"/>
      <c r="B109" s="35"/>
      <c r="C109" s="35"/>
    </row>
    <row r="110" spans="1:3" x14ac:dyDescent="0.25">
      <c r="A110" s="81"/>
      <c r="B110" s="35"/>
      <c r="C110" s="35"/>
    </row>
    <row r="111" spans="1:3" x14ac:dyDescent="0.25">
      <c r="A111" s="81"/>
      <c r="B111" s="35"/>
      <c r="C111" s="35"/>
    </row>
    <row r="112" spans="1:3" x14ac:dyDescent="0.25">
      <c r="A112" s="81"/>
      <c r="B112" s="35"/>
      <c r="C112" s="35"/>
    </row>
    <row r="113" spans="1:3" x14ac:dyDescent="0.25">
      <c r="A113" s="76" t="s">
        <v>31</v>
      </c>
      <c r="B113" s="35" t="str">
        <f>SAP!A66</f>
        <v>Artykuł</v>
      </c>
      <c r="C113" s="35" t="str">
        <f>SAP!A67</f>
        <v>Ilość szt .</v>
      </c>
    </row>
    <row r="114" spans="1:3" x14ac:dyDescent="0.25">
      <c r="A114" s="76">
        <v>373683</v>
      </c>
      <c r="B114" s="76" t="str">
        <f>IF(SAP!$A$7=1,VLOOKUP(A114,SAP!$1:$1048576,2,FALSE),IF(SAP!$A$7=2,VLOOKUP(A114,SAP!$1:$1048576,5,FALSE),IF(SAP!$A$7=3,VLOOKUP(A114,SAP!$1:$1048576,6,FALSE),IF(SAP!$A$7=4,VLOOKUP(A114,SAP!$1:$1048576,7,FALSE)))))</f>
        <v>sSzablon frez. pochwytu PATIO LIFE</v>
      </c>
      <c r="C114" s="80">
        <v>0</v>
      </c>
    </row>
    <row r="115" spans="1:3" x14ac:dyDescent="0.25">
      <c r="A115" s="35"/>
      <c r="B115" s="35"/>
      <c r="C115" s="35"/>
    </row>
    <row r="116" spans="1:3" x14ac:dyDescent="0.25">
      <c r="A116" s="75"/>
      <c r="B116" s="35"/>
      <c r="C116" s="35"/>
    </row>
    <row r="117" spans="1:3" x14ac:dyDescent="0.25">
      <c r="A117" s="75"/>
      <c r="B117" s="35"/>
      <c r="C117" s="35"/>
    </row>
    <row r="118" spans="1:3" x14ac:dyDescent="0.25">
      <c r="A118" s="75"/>
      <c r="B118" s="35"/>
      <c r="C118" s="35"/>
    </row>
    <row r="119" spans="1:3" x14ac:dyDescent="0.25">
      <c r="A119" s="75"/>
      <c r="B119" s="35"/>
      <c r="C119" s="35"/>
    </row>
    <row r="120" spans="1:3" x14ac:dyDescent="0.25">
      <c r="A120" s="75"/>
      <c r="B120" s="35"/>
      <c r="C120" s="35"/>
    </row>
    <row r="121" spans="1:3" x14ac:dyDescent="0.25">
      <c r="A121" s="75"/>
      <c r="B121" s="35"/>
      <c r="C121" s="35"/>
    </row>
    <row r="122" spans="1:3" x14ac:dyDescent="0.25">
      <c r="A122" s="75"/>
      <c r="B122" s="35"/>
      <c r="C122" s="35"/>
    </row>
    <row r="123" spans="1:3" x14ac:dyDescent="0.25">
      <c r="A123" s="75"/>
      <c r="B123" s="35"/>
      <c r="C123" s="35"/>
    </row>
    <row r="124" spans="1:3" x14ac:dyDescent="0.25">
      <c r="A124" s="75"/>
      <c r="B124" s="35"/>
      <c r="C124" s="35"/>
    </row>
    <row r="125" spans="1:3" x14ac:dyDescent="0.25">
      <c r="A125" s="75"/>
      <c r="B125" s="35"/>
      <c r="C125" s="35"/>
    </row>
    <row r="126" spans="1:3" x14ac:dyDescent="0.25">
      <c r="A126" s="75"/>
      <c r="B126" s="35"/>
      <c r="C126" s="35"/>
    </row>
    <row r="127" spans="1:3" x14ac:dyDescent="0.25">
      <c r="A127" s="75"/>
      <c r="B127" s="35"/>
      <c r="C127" s="35"/>
    </row>
    <row r="128" spans="1:3" x14ac:dyDescent="0.25">
      <c r="A128" s="75"/>
      <c r="B128" s="35"/>
      <c r="C128" s="35"/>
    </row>
    <row r="129" spans="1:3" x14ac:dyDescent="0.25">
      <c r="A129" s="75"/>
      <c r="B129" s="35"/>
      <c r="C129" s="35"/>
    </row>
    <row r="130" spans="1:3" x14ac:dyDescent="0.25">
      <c r="A130" s="75"/>
      <c r="B130" s="35"/>
      <c r="C130" s="35"/>
    </row>
    <row r="131" spans="1:3" x14ac:dyDescent="0.25">
      <c r="A131" s="75"/>
      <c r="B131" s="35"/>
      <c r="C131" s="35"/>
    </row>
    <row r="132" spans="1:3" x14ac:dyDescent="0.25">
      <c r="A132" s="79" t="s">
        <v>31</v>
      </c>
      <c r="B132" s="35" t="str">
        <f>SAP!A66</f>
        <v>Artykuł</v>
      </c>
      <c r="C132" s="35" t="s">
        <v>302</v>
      </c>
    </row>
    <row r="133" spans="1:3" x14ac:dyDescent="0.25">
      <c r="A133" s="76"/>
      <c r="B133" s="78" t="str">
        <f>SAP!A122</f>
        <v>Instrukcja montażu IMO_403_DE_v7</v>
      </c>
      <c r="C133" s="80">
        <v>0</v>
      </c>
    </row>
    <row r="134" spans="1:3" x14ac:dyDescent="0.25">
      <c r="A134" s="81"/>
      <c r="B134" s="76" t="str">
        <f>SAP!A123</f>
        <v>Instrukcja montażu IMO_403_PL_v7</v>
      </c>
      <c r="C134" s="80">
        <v>0</v>
      </c>
    </row>
    <row r="135" spans="1:3" x14ac:dyDescent="0.25">
      <c r="A135" s="81"/>
      <c r="B135" s="123" t="str">
        <f>SAP!A124</f>
        <v>Link do instrukcji DE</v>
      </c>
      <c r="C135" s="82"/>
    </row>
    <row r="136" spans="1:3" x14ac:dyDescent="0.25">
      <c r="A136" s="81"/>
      <c r="B136" s="85" t="str">
        <f>SAP!A125</f>
        <v>Link do instrukcji PL</v>
      </c>
      <c r="C136" s="82"/>
    </row>
    <row r="137" spans="1:3" x14ac:dyDescent="0.25">
      <c r="A137" s="35"/>
      <c r="B137" s="35"/>
      <c r="C137" s="35"/>
    </row>
    <row r="138" spans="1:3" x14ac:dyDescent="0.25">
      <c r="A138" s="75"/>
      <c r="B138" s="35"/>
      <c r="C138" s="35"/>
    </row>
    <row r="139" spans="1:3" x14ac:dyDescent="0.25">
      <c r="A139" s="75"/>
      <c r="B139" s="35"/>
      <c r="C139" s="35"/>
    </row>
    <row r="140" spans="1:3" x14ac:dyDescent="0.25">
      <c r="A140" s="75"/>
      <c r="B140" s="35"/>
      <c r="C140" s="35"/>
    </row>
    <row r="141" spans="1:3" x14ac:dyDescent="0.25">
      <c r="A141" s="75"/>
      <c r="B141" s="35"/>
      <c r="C141" s="35"/>
    </row>
    <row r="142" spans="1:3" x14ac:dyDescent="0.25">
      <c r="A142" s="75"/>
      <c r="B142" s="35"/>
      <c r="C142" s="35"/>
    </row>
    <row r="143" spans="1:3" x14ac:dyDescent="0.25">
      <c r="A143" s="75"/>
      <c r="B143" s="35"/>
      <c r="C143" s="35"/>
    </row>
    <row r="144" spans="1:3" x14ac:dyDescent="0.25">
      <c r="A144" s="75"/>
      <c r="B144" s="35"/>
      <c r="C144" s="35"/>
    </row>
    <row r="145" spans="1:3" x14ac:dyDescent="0.25">
      <c r="A145" s="75"/>
      <c r="B145" s="35"/>
      <c r="C145" s="35"/>
    </row>
    <row r="146" spans="1:3" x14ac:dyDescent="0.25">
      <c r="A146" s="75"/>
      <c r="B146" s="35"/>
      <c r="C146" s="35"/>
    </row>
    <row r="147" spans="1:3" x14ac:dyDescent="0.25">
      <c r="A147" s="75"/>
      <c r="B147" s="35"/>
      <c r="C147" s="35"/>
    </row>
    <row r="148" spans="1:3" x14ac:dyDescent="0.25">
      <c r="A148" s="75"/>
      <c r="B148" s="35"/>
      <c r="C148" s="35"/>
    </row>
    <row r="149" spans="1:3" x14ac:dyDescent="0.25">
      <c r="A149" s="75"/>
      <c r="B149" s="35"/>
      <c r="C149" s="35"/>
    </row>
    <row r="150" spans="1:3" x14ac:dyDescent="0.25">
      <c r="A150" s="75"/>
      <c r="B150" s="35"/>
      <c r="C150" s="35"/>
    </row>
    <row r="151" spans="1:3" x14ac:dyDescent="0.25">
      <c r="A151" s="75"/>
      <c r="B151" s="35"/>
      <c r="C151" s="35"/>
    </row>
    <row r="152" spans="1:3" x14ac:dyDescent="0.25">
      <c r="A152" s="75"/>
      <c r="B152" s="35"/>
      <c r="C152" s="35"/>
    </row>
    <row r="153" spans="1:3" x14ac:dyDescent="0.25">
      <c r="A153" s="75"/>
      <c r="B153" s="35"/>
      <c r="C153" s="35"/>
    </row>
    <row r="154" spans="1:3" x14ac:dyDescent="0.25">
      <c r="A154" s="79" t="s">
        <v>31</v>
      </c>
      <c r="B154" s="35" t="str">
        <f>SAP!A66</f>
        <v>Artykuł</v>
      </c>
      <c r="C154" s="35" t="str">
        <f>SAP!A67</f>
        <v>Ilość szt .</v>
      </c>
    </row>
    <row r="155" spans="1:3" x14ac:dyDescent="0.25">
      <c r="A155" s="76"/>
      <c r="B155" s="78" t="str">
        <f>SAP!A120</f>
        <v>Instrukcja montażu IMO_403_PL_Aluplast_10.2019</v>
      </c>
      <c r="C155" s="80">
        <v>0</v>
      </c>
    </row>
    <row r="156" spans="1:3" x14ac:dyDescent="0.25">
      <c r="A156" s="76"/>
      <c r="B156" s="78" t="str">
        <f>SAP!A121</f>
        <v>Instrukcja montażu IMO_403_PL_Gealan_10.2019</v>
      </c>
      <c r="C156" s="80">
        <v>0</v>
      </c>
    </row>
    <row r="157" spans="1:3" x14ac:dyDescent="0.25">
      <c r="A157" s="35"/>
      <c r="B157" s="35"/>
      <c r="C157" s="35"/>
    </row>
    <row r="158" spans="1:3" x14ac:dyDescent="0.25">
      <c r="A158" s="35"/>
      <c r="B158" s="35"/>
      <c r="C158" s="35"/>
    </row>
    <row r="159" spans="1:3" x14ac:dyDescent="0.25">
      <c r="A159" s="35"/>
      <c r="B159" s="35"/>
      <c r="C159" s="35"/>
    </row>
    <row r="160" spans="1:3" x14ac:dyDescent="0.25">
      <c r="A160" s="35"/>
      <c r="B160" s="84" t="str">
        <f>SAP!A68</f>
        <v>Na zlecenie</v>
      </c>
      <c r="C160" s="35"/>
    </row>
    <row r="161" spans="1:3" x14ac:dyDescent="0.25">
      <c r="A161" s="76" t="s">
        <v>305</v>
      </c>
      <c r="B161" s="76" t="str">
        <f>SAP!A66</f>
        <v>Artykuł</v>
      </c>
      <c r="C161" s="76" t="str">
        <f>SAP!A67</f>
        <v>Ilość szt .</v>
      </c>
    </row>
    <row r="162" spans="1:3" x14ac:dyDescent="0.25">
      <c r="A162" s="76">
        <v>799034</v>
      </c>
      <c r="B162" s="76" t="str">
        <f>IF(SAP!$A$7=1,VLOOKUP(A162,SAP!$1:$1048576,2,FALSE),IF(SAP!$A$7=2,VLOOKUP(A162,SAP!$1:$1048576,5,FALSE),IF(SAP!$A$7=3,VLOOKUP(A162,SAP!$1:$1048576,6,FALSE),IF(SAP!$A$7=4,VLOOKUP(A162,SAP!$1:$1048576,7,FALSE)))))</f>
        <v>Przymiar wiert. wózka/jedno.ster.41 PIN</v>
      </c>
      <c r="C162" s="77">
        <f>C14</f>
        <v>0</v>
      </c>
    </row>
    <row r="163" spans="1:3" x14ac:dyDescent="0.25">
      <c r="A163" s="76">
        <v>799033</v>
      </c>
      <c r="B163" s="76" t="str">
        <f>IF(SAP!$A$7=1,VLOOKUP(A163,SAP!$1:$1048576,2,FALSE),IF(SAP!$A$7=2,VLOOKUP(A163,SAP!$1:$1048576,5,FALSE),IF(SAP!$A$7=3,VLOOKUP(A163,SAP!$1:$1048576,6,FALSE),IF(SAP!$A$7=4,VLOOKUP(A163,SAP!$1:$1048576,7,FALSE)))))</f>
        <v>Przymiar wiert. wózka/jedno.ster.PIN ALU</v>
      </c>
      <c r="C163" s="77">
        <f>C15</f>
        <v>0</v>
      </c>
    </row>
    <row r="164" spans="1:3" x14ac:dyDescent="0.25">
      <c r="A164" s="76">
        <v>799032</v>
      </c>
      <c r="B164" s="76" t="str">
        <f>IF(SAP!$A$7=1,VLOOKUP(A164,SAP!$1:$1048576,2,FALSE),IF(SAP!$A$7=2,VLOOKUP(A164,SAP!$1:$1048576,5,FALSE),IF(SAP!$A$7=3,VLOOKUP(A164,SAP!$1:$1048576,6,FALSE),IF(SAP!$A$7=4,VLOOKUP(A164,SAP!$1:$1048576,7,FALSE)))))</f>
        <v>Przymiar wiert. docisku międzyzaw.41 PIN</v>
      </c>
      <c r="C164" s="77">
        <f>C28</f>
        <v>0</v>
      </c>
    </row>
    <row r="165" spans="1:3" x14ac:dyDescent="0.25">
      <c r="A165" s="76">
        <v>799031</v>
      </c>
      <c r="B165" s="76" t="str">
        <f>IF(SAP!$A$7=1,VLOOKUP(A165,SAP!$1:$1048576,2,FALSE),IF(SAP!$A$7=2,VLOOKUP(A165,SAP!$1:$1048576,5,FALSE),IF(SAP!$A$7=3,VLOOKUP(A165,SAP!$1:$1048576,6,FALSE),IF(SAP!$A$7=4,VLOOKUP(A165,SAP!$1:$1048576,7,FALSE)))))</f>
        <v>Przymiar wiert. docisku międzyzaw.PIN ALU</v>
      </c>
      <c r="C165" s="77">
        <f>C29</f>
        <v>0</v>
      </c>
    </row>
    <row r="166" spans="1:3" x14ac:dyDescent="0.25">
      <c r="A166" s="76">
        <v>772626</v>
      </c>
      <c r="B166" s="76" t="str">
        <f>IF(SAP!$A$7=1,VLOOKUP(A166,SAP!$1:$1048576,2,FALSE),IF(SAP!$A$7=2,VLOOKUP(A166,SAP!$1:$1048576,5,FALSE),IF(SAP!$A$7=3,VLOOKUP(A166,SAP!$1:$1048576,6,FALSE),IF(SAP!$A$7=4,VLOOKUP(A166,SAP!$1:$1048576,7,FALSE)))))</f>
        <v>Przymiar ustaw. zaczepu p-wyw PIN</v>
      </c>
      <c r="C166" s="77">
        <f>C41</f>
        <v>0</v>
      </c>
    </row>
    <row r="167" spans="1:3" x14ac:dyDescent="0.25">
      <c r="A167" s="76">
        <v>811973</v>
      </c>
      <c r="B167" s="76" t="str">
        <f>IF(SAP!$A$7=1,VLOOKUP(A167,SAP!$1:$1048576,2,FALSE),IF(SAP!$A$7=2,VLOOKUP(A167,SAP!$1:$1048576,5,FALSE),IF(SAP!$A$7=3,VLOOKUP(A167,SAP!$1:$1048576,6,FALSE),IF(SAP!$A$7=4,VLOOKUP(A167,SAP!$1:$1048576,7,FALSE)))))</f>
        <v>Przymiar wiert.zacz.docisk.międzyzaw.PIN 84mm</v>
      </c>
      <c r="C167" s="77">
        <f>C53</f>
        <v>0</v>
      </c>
    </row>
    <row r="168" spans="1:3" x14ac:dyDescent="0.25">
      <c r="A168" s="76">
        <v>807972</v>
      </c>
      <c r="B168" s="76" t="str">
        <f>IF(SAP!$A$7=1,VLOOKUP(A168,SAP!$1:$1048576,2,FALSE),IF(SAP!$A$7=2,VLOOKUP(A168,SAP!$1:$1048576,5,FALSE),IF(SAP!$A$7=3,VLOOKUP(A168,SAP!$1:$1048576,6,FALSE),IF(SAP!$A$7=4,VLOOKUP(A168,SAP!$1:$1048576,7,FALSE)))))</f>
        <v>Przymiar wiert.zacz.docisk.międzyzaw.PIN 104mm</v>
      </c>
      <c r="C168" s="77">
        <f>C54</f>
        <v>0</v>
      </c>
    </row>
    <row r="169" spans="1:3" x14ac:dyDescent="0.25">
      <c r="A169" s="76">
        <v>809328</v>
      </c>
      <c r="B169" s="76" t="str">
        <f>IF(SAP!$A$7=1,VLOOKUP(A169,SAP!$1:$1048576,2,FALSE),IF(SAP!$A$7=2,VLOOKUP(A169,SAP!$1:$1048576,5,FALSE),IF(SAP!$A$7=3,VLOOKUP(A169,SAP!$1:$1048576,6,FALSE),IF(SAP!$A$7=4,VLOOKUP(A169,SAP!$1:$1048576,7,FALSE)))))</f>
        <v>Przymiar wiert.docisk.międzyz GEALAN PIN</v>
      </c>
      <c r="C169" s="77">
        <f>C55</f>
        <v>0</v>
      </c>
    </row>
    <row r="170" spans="1:3" x14ac:dyDescent="0.25">
      <c r="A170" s="76">
        <v>817229</v>
      </c>
      <c r="B170" s="76" t="str">
        <f>IF(SAP!$A$7=1,VLOOKUP(A170,SAP!$1:$1048576,2,FALSE),IF(SAP!$A$7=2,VLOOKUP(A170,SAP!$1:$1048576,5,FALSE),IF(SAP!$A$7=3,VLOOKUP(A170,SAP!$1:$1048576,6,FALSE),IF(SAP!$A$7=4,VLOOKUP(A170,SAP!$1:$1048576,7,FALSE)))))</f>
        <v>Przymiar wiert.docisk.międzyPIN ALU</v>
      </c>
      <c r="C170" s="77">
        <f>C56</f>
        <v>0</v>
      </c>
    </row>
    <row r="171" spans="1:3" x14ac:dyDescent="0.25">
      <c r="A171" s="76">
        <v>834696</v>
      </c>
      <c r="B171" s="76" t="str">
        <f>IF(SAP!$A$7=1,VLOOKUP(A171,SAP!$1:$1048576,2,FALSE),IF(SAP!$A$7=2,VLOOKUP(A171,SAP!$1:$1048576,5,FALSE),IF(SAP!$A$7=3,VLOOKUP(A171,SAP!$1:$1048576,6,FALSE),IF(SAP!$A$7=4,VLOOKUP(A171,SAP!$1:$1048576,7,FALSE)))))</f>
        <v>Szablon zaczepu p-wyw RC2 Aluplast PIN</v>
      </c>
      <c r="C171" s="77">
        <f>C68</f>
        <v>0</v>
      </c>
    </row>
    <row r="172" spans="1:3" x14ac:dyDescent="0.25">
      <c r="A172" s="76">
        <v>834689</v>
      </c>
      <c r="B172" s="76" t="str">
        <f>IF(SAP!$A$7=1,VLOOKUP(A172,SAP!$1:$1048576,2,FALSE),IF(SAP!$A$7=2,VLOOKUP(A172,SAP!$1:$1048576,5,FALSE),IF(SAP!$A$7=3,VLOOKUP(A172,SAP!$1:$1048576,6,FALSE),IF(SAP!$A$7=4,VLOOKUP(A172,SAP!$1:$1048576,7,FALSE)))))</f>
        <v>Szablon zaczepu p-wyw RC2 Gealan PIN</v>
      </c>
      <c r="C172" s="77">
        <f>C69</f>
        <v>0</v>
      </c>
    </row>
    <row r="173" spans="1:3" x14ac:dyDescent="0.25">
      <c r="A173" s="76">
        <v>834697</v>
      </c>
      <c r="B173" s="76" t="str">
        <f>IF(SAP!$A$7=1,VLOOKUP(A173,SAP!$1:$1048576,2,FALSE),IF(SAP!$A$7=2,VLOOKUP(A173,SAP!$1:$1048576,5,FALSE),IF(SAP!$A$7=3,VLOOKUP(A173,SAP!$1:$1048576,6,FALSE),IF(SAP!$A$7=4,VLOOKUP(A173,SAP!$1:$1048576,7,FALSE)))))</f>
        <v>Szablon zaczepu zabezpiecz. Aluplast PIN</v>
      </c>
      <c r="C173" s="77">
        <f>C81</f>
        <v>0</v>
      </c>
    </row>
    <row r="174" spans="1:3" x14ac:dyDescent="0.25">
      <c r="A174" s="76">
        <v>834695</v>
      </c>
      <c r="B174" s="76" t="str">
        <f>IF(SAP!$A$7=1,VLOOKUP(A174,SAP!$1:$1048576,2,FALSE),IF(SAP!$A$7=2,VLOOKUP(A174,SAP!$1:$1048576,5,FALSE),IF(SAP!$A$7=3,VLOOKUP(A174,SAP!$1:$1048576,6,FALSE),IF(SAP!$A$7=4,VLOOKUP(A174,SAP!$1:$1048576,7,FALSE)))))</f>
        <v>Szablon zaczepu zabezpiecz. Gealan PIN</v>
      </c>
      <c r="C174" s="77">
        <f>C82</f>
        <v>0</v>
      </c>
    </row>
    <row r="175" spans="1:3" x14ac:dyDescent="0.25">
      <c r="A175" s="76">
        <v>258191</v>
      </c>
      <c r="B175" s="76" t="str">
        <f>IF(SAP!$A$7=1,VLOOKUP(A175,SAP!$1:$1048576,2,FALSE),IF(SAP!$A$7=2,VLOOKUP(A175,SAP!$1:$1048576,5,FALSE),IF(SAP!$A$7=3,VLOOKUP(A175,SAP!$1:$1048576,6,FALSE),IF(SAP!$A$7=4,VLOOKUP(A175,SAP!$1:$1048576,7,FALSE)))))</f>
        <v>sKlucz do regulacji V NT</v>
      </c>
      <c r="C175" s="77">
        <f>C91</f>
        <v>0</v>
      </c>
    </row>
    <row r="176" spans="1:3" x14ac:dyDescent="0.25">
      <c r="A176" s="76">
        <v>740068</v>
      </c>
      <c r="B176" s="76" t="str">
        <f>IF(SAP!$A$7=1,VLOOKUP(A176,SAP!$1:$1048576,2,FALSE),IF(SAP!$A$7=2,VLOOKUP(A176,SAP!$1:$1048576,5,FALSE),IF(SAP!$A$7=3,VLOOKUP(A176,SAP!$1:$1048576,6,FALSE),IF(SAP!$A$7=4,VLOOKUP(A176,SAP!$1:$1048576,7,FALSE)))))</f>
        <v>sKlamka montażowa 75mm NT</v>
      </c>
      <c r="C176" s="77">
        <f>C103</f>
        <v>0</v>
      </c>
    </row>
    <row r="177" spans="1:3" x14ac:dyDescent="0.25">
      <c r="A177" s="76">
        <v>373683</v>
      </c>
      <c r="B177" s="76" t="str">
        <f>IF(SAP!$A$7=1,VLOOKUP(A177,SAP!$1:$1048576,2,FALSE),IF(SAP!$A$7=2,VLOOKUP(A177,SAP!$1:$1048576,5,FALSE),IF(SAP!$A$7=3,VLOOKUP(A177,SAP!$1:$1048576,6,FALSE),IF(SAP!$A$7=4,VLOOKUP(A177,SAP!$1:$1048576,7,FALSE)))))</f>
        <v>sSzablon frez. pochwytu PATIO LIFE</v>
      </c>
      <c r="C177" s="77">
        <f>C114</f>
        <v>0</v>
      </c>
    </row>
    <row r="178" spans="1:3" x14ac:dyDescent="0.25">
      <c r="A178" s="76"/>
      <c r="B178" s="76" t="str">
        <f>SAP!A122</f>
        <v>Instrukcja montażu IMO_403_DE_v7</v>
      </c>
      <c r="C178" s="77">
        <f>C133</f>
        <v>0</v>
      </c>
    </row>
    <row r="179" spans="1:3" x14ac:dyDescent="0.25">
      <c r="A179" s="76"/>
      <c r="B179" s="76" t="str">
        <f>SAP!A123</f>
        <v>Instrukcja montażu IMO_403_PL_v7</v>
      </c>
      <c r="C179" s="77">
        <f>C134</f>
        <v>0</v>
      </c>
    </row>
    <row r="180" spans="1:3" x14ac:dyDescent="0.25">
      <c r="A180" s="76"/>
      <c r="B180" s="76" t="str">
        <f>SAP!A120</f>
        <v>Instrukcja montażu IMO_403_PL_Aluplast_10.2019</v>
      </c>
      <c r="C180" s="77">
        <f>C155</f>
        <v>0</v>
      </c>
    </row>
    <row r="181" spans="1:3" x14ac:dyDescent="0.25">
      <c r="A181" s="76"/>
      <c r="B181" s="76" t="str">
        <f>SAP!A121</f>
        <v>Instrukcja montażu IMO_403_PL_Gealan_10.2019</v>
      </c>
      <c r="C181" s="77">
        <f>C156</f>
        <v>0</v>
      </c>
    </row>
  </sheetData>
  <sheetProtection password="DD29" sheet="1" objects="1" scenarios="1"/>
  <hyperlinks>
    <hyperlink ref="D1" location="'Schemat A'!A1" display="Powrót "/>
    <hyperlink ref="B135" r:id="rId1" display="https://ftt.roto-frank.com/de/download/IMO_403_DE_v2/"/>
    <hyperlink ref="B136" r:id="rId2" display="https://ftt.roto-frank.com/pl/download/IMO_403_PL_v4/"/>
  </hyperlinks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6" name="List Box 1">
              <controlPr defaultSize="0" autoLine="0" autoPict="0">
                <anchor moveWithCells="1">
                  <from>
                    <xdr:col>3</xdr:col>
                    <xdr:colOff>333375</xdr:colOff>
                    <xdr:row>1</xdr:row>
                    <xdr:rowOff>57150</xdr:rowOff>
                  </from>
                  <to>
                    <xdr:col>3</xdr:col>
                    <xdr:colOff>723900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2:H462"/>
  <sheetViews>
    <sheetView topLeftCell="A463" zoomScale="70" zoomScaleNormal="70" workbookViewId="0">
      <selection activeCell="A462" sqref="A2:XFD462"/>
    </sheetView>
  </sheetViews>
  <sheetFormatPr defaultRowHeight="15" x14ac:dyDescent="0.25"/>
  <cols>
    <col min="1" max="1" width="60.42578125" bestFit="1" customWidth="1"/>
    <col min="2" max="2" width="46.5703125" bestFit="1" customWidth="1"/>
    <col min="3" max="3" width="25.28515625" bestFit="1" customWidth="1"/>
    <col min="4" max="4" width="26.42578125" bestFit="1" customWidth="1"/>
    <col min="5" max="5" width="53.85546875" customWidth="1"/>
    <col min="6" max="6" width="65.42578125" customWidth="1"/>
    <col min="7" max="7" width="57.42578125" customWidth="1"/>
  </cols>
  <sheetData>
    <row r="2" spans="1:7" hidden="1" x14ac:dyDescent="0.25">
      <c r="A2" s="1"/>
      <c r="B2" s="1"/>
      <c r="C2" s="1"/>
      <c r="D2" s="1"/>
      <c r="E2" s="1"/>
      <c r="F2" s="1"/>
    </row>
    <row r="3" spans="1:7" hidden="1" x14ac:dyDescent="0.25">
      <c r="A3" s="6" t="s">
        <v>351</v>
      </c>
    </row>
    <row r="4" spans="1:7" hidden="1" x14ac:dyDescent="0.25">
      <c r="A4" s="6" t="s">
        <v>352</v>
      </c>
    </row>
    <row r="5" spans="1:7" hidden="1" x14ac:dyDescent="0.25">
      <c r="A5" s="6" t="s">
        <v>354</v>
      </c>
    </row>
    <row r="6" spans="1:7" s="98" customFormat="1" hidden="1" x14ac:dyDescent="0.25">
      <c r="A6" s="6" t="s">
        <v>843</v>
      </c>
    </row>
    <row r="7" spans="1:7" hidden="1" x14ac:dyDescent="0.25">
      <c r="A7" s="6">
        <v>1</v>
      </c>
      <c r="E7" t="s">
        <v>352</v>
      </c>
      <c r="F7" t="s">
        <v>354</v>
      </c>
      <c r="G7" t="s">
        <v>843</v>
      </c>
    </row>
    <row r="8" spans="1:7" hidden="1" x14ac:dyDescent="0.25">
      <c r="A8" t="str">
        <f>IF($A$7=1,B8,IF($A$7=2,E8,IF($A$7=3,F8,IF($A$7=4,G8))))</f>
        <v>Aluplast</v>
      </c>
      <c r="B8" s="6" t="s">
        <v>47</v>
      </c>
      <c r="E8" s="6" t="s">
        <v>47</v>
      </c>
      <c r="F8" s="6" t="s">
        <v>47</v>
      </c>
      <c r="G8" t="s">
        <v>47</v>
      </c>
    </row>
    <row r="9" spans="1:7" hidden="1" x14ac:dyDescent="0.25">
      <c r="A9" s="98" t="str">
        <f t="shared" ref="A9:A77" si="0">IF($A$7=1,B9,IF($A$7=2,E9,IF($A$7=3,F9,IF($A$7=4,G9))))</f>
        <v>Drewno</v>
      </c>
      <c r="B9" s="6" t="s">
        <v>67</v>
      </c>
      <c r="E9" s="6" t="s">
        <v>219</v>
      </c>
      <c r="F9" s="6" t="s">
        <v>743</v>
      </c>
      <c r="G9" t="s">
        <v>855</v>
      </c>
    </row>
    <row r="10" spans="1:7" hidden="1" x14ac:dyDescent="0.25">
      <c r="A10" s="98" t="str">
        <f t="shared" si="0"/>
        <v>Gealan</v>
      </c>
      <c r="B10" s="6" t="s">
        <v>68</v>
      </c>
      <c r="E10" s="6" t="s">
        <v>68</v>
      </c>
      <c r="F10" s="6" t="s">
        <v>68</v>
      </c>
      <c r="G10" t="s">
        <v>68</v>
      </c>
    </row>
    <row r="11" spans="1:7" hidden="1" x14ac:dyDescent="0.25">
      <c r="A11" s="98" t="str">
        <f t="shared" si="0"/>
        <v>Roto Patio Inowa Schemat A</v>
      </c>
      <c r="B11" s="92" t="s">
        <v>322</v>
      </c>
      <c r="E11" t="s">
        <v>357</v>
      </c>
      <c r="F11" t="s">
        <v>714</v>
      </c>
      <c r="G11" t="s">
        <v>856</v>
      </c>
    </row>
    <row r="12" spans="1:7" s="98" customFormat="1" hidden="1" x14ac:dyDescent="0.25">
      <c r="A12" s="98" t="str">
        <f t="shared" si="0"/>
        <v>Roto Patio Inowa Schemat A RC2</v>
      </c>
      <c r="B12" s="92" t="s">
        <v>1430</v>
      </c>
      <c r="E12" s="98" t="s">
        <v>1431</v>
      </c>
      <c r="F12" s="98" t="s">
        <v>1432</v>
      </c>
      <c r="G12" s="98" t="s">
        <v>1433</v>
      </c>
    </row>
    <row r="13" spans="1:7" hidden="1" x14ac:dyDescent="0.25">
      <c r="A13" s="98" t="str">
        <f t="shared" si="0"/>
        <v>Roto Patio Inowa Schemat A'</v>
      </c>
      <c r="B13" t="s">
        <v>323</v>
      </c>
      <c r="E13" t="s">
        <v>683</v>
      </c>
      <c r="F13" t="s">
        <v>715</v>
      </c>
      <c r="G13" t="s">
        <v>857</v>
      </c>
    </row>
    <row r="14" spans="1:7" hidden="1" x14ac:dyDescent="0.25">
      <c r="A14" s="98" t="str">
        <f t="shared" si="0"/>
        <v>Roto Patio Inowa Schemat C</v>
      </c>
      <c r="B14" t="s">
        <v>324</v>
      </c>
      <c r="E14" t="s">
        <v>684</v>
      </c>
      <c r="F14" t="s">
        <v>716</v>
      </c>
      <c r="G14" t="s">
        <v>858</v>
      </c>
    </row>
    <row r="15" spans="1:7" hidden="1" x14ac:dyDescent="0.25">
      <c r="A15" s="98" t="str">
        <f t="shared" si="0"/>
        <v>Roto Patio Inowa Schemat C'</v>
      </c>
      <c r="B15" t="s">
        <v>325</v>
      </c>
      <c r="E15" t="s">
        <v>685</v>
      </c>
      <c r="F15" t="s">
        <v>717</v>
      </c>
      <c r="G15" t="s">
        <v>859</v>
      </c>
    </row>
    <row r="16" spans="1:7" hidden="1" x14ac:dyDescent="0.25">
      <c r="A16" s="98" t="str">
        <f t="shared" si="0"/>
        <v>(dobór przygotowany wg instrukcji IMO_403_DE_v7)</v>
      </c>
      <c r="B16" s="92" t="s">
        <v>1438</v>
      </c>
      <c r="C16" s="91"/>
      <c r="D16" s="91"/>
      <c r="E16" t="s">
        <v>1439</v>
      </c>
      <c r="F16" s="92" t="s">
        <v>1440</v>
      </c>
      <c r="G16" t="s">
        <v>1441</v>
      </c>
    </row>
    <row r="17" spans="1:7" hidden="1" x14ac:dyDescent="0.25">
      <c r="A17" s="98" t="str">
        <f t="shared" si="0"/>
        <v xml:space="preserve">Wybór schematu:                                      </v>
      </c>
      <c r="B17" s="92" t="s">
        <v>69</v>
      </c>
      <c r="C17" s="91"/>
      <c r="D17" s="91"/>
      <c r="E17" t="s">
        <v>744</v>
      </c>
      <c r="F17" t="s">
        <v>747</v>
      </c>
      <c r="G17" t="s">
        <v>860</v>
      </c>
    </row>
    <row r="18" spans="1:7" hidden="1" x14ac:dyDescent="0.25">
      <c r="A18" s="98" t="str">
        <f t="shared" si="0"/>
        <v>Schemat A</v>
      </c>
      <c r="B18" s="92" t="s">
        <v>60</v>
      </c>
      <c r="C18" s="91"/>
      <c r="D18" s="91"/>
      <c r="E18" s="92" t="s">
        <v>686</v>
      </c>
      <c r="F18" t="s">
        <v>718</v>
      </c>
      <c r="G18" t="s">
        <v>861</v>
      </c>
    </row>
    <row r="19" spans="1:7" s="98" customFormat="1" hidden="1" x14ac:dyDescent="0.25">
      <c r="A19" s="98" t="str">
        <f t="shared" si="0"/>
        <v>Schemat A RC2</v>
      </c>
      <c r="B19" s="92" t="s">
        <v>1426</v>
      </c>
      <c r="C19" s="91"/>
      <c r="D19" s="91"/>
      <c r="E19" s="92" t="s">
        <v>1427</v>
      </c>
      <c r="F19" s="98" t="s">
        <v>1428</v>
      </c>
      <c r="G19" s="98" t="s">
        <v>1429</v>
      </c>
    </row>
    <row r="20" spans="1:7" hidden="1" x14ac:dyDescent="0.25">
      <c r="A20" s="98" t="str">
        <f t="shared" si="0"/>
        <v>Schemat A' w opracowaniu</v>
      </c>
      <c r="B20" s="92" t="s">
        <v>1274</v>
      </c>
      <c r="C20" s="91"/>
      <c r="D20" s="91"/>
      <c r="E20" s="92" t="s">
        <v>1279</v>
      </c>
      <c r="F20" t="s">
        <v>1278</v>
      </c>
      <c r="G20" t="s">
        <v>1286</v>
      </c>
    </row>
    <row r="21" spans="1:7" hidden="1" x14ac:dyDescent="0.25">
      <c r="A21" s="98" t="str">
        <f t="shared" si="0"/>
        <v>Schemat C</v>
      </c>
      <c r="B21" s="92" t="s">
        <v>62</v>
      </c>
      <c r="C21" s="91"/>
      <c r="D21" s="91"/>
      <c r="E21" s="92" t="s">
        <v>687</v>
      </c>
      <c r="F21" t="s">
        <v>719</v>
      </c>
      <c r="G21" t="s">
        <v>862</v>
      </c>
    </row>
    <row r="22" spans="1:7" hidden="1" x14ac:dyDescent="0.25">
      <c r="A22" s="98" t="str">
        <f t="shared" si="0"/>
        <v>Schemat C' w opracowaniu</v>
      </c>
      <c r="B22" s="92" t="s">
        <v>1275</v>
      </c>
      <c r="C22" s="91"/>
      <c r="D22" s="91"/>
      <c r="E22" s="92" t="s">
        <v>1280</v>
      </c>
      <c r="F22" t="s">
        <v>1283</v>
      </c>
      <c r="G22" t="s">
        <v>1287</v>
      </c>
    </row>
    <row r="23" spans="1:7" hidden="1" x14ac:dyDescent="0.25">
      <c r="A23" s="98" t="str">
        <f t="shared" si="0"/>
        <v>Schemat K w opracowaniu</v>
      </c>
      <c r="B23" s="92" t="s">
        <v>1276</v>
      </c>
      <c r="C23" s="91"/>
      <c r="D23" s="91"/>
      <c r="E23" s="92" t="s">
        <v>1281</v>
      </c>
      <c r="F23" t="s">
        <v>1284</v>
      </c>
      <c r="G23" t="s">
        <v>1289</v>
      </c>
    </row>
    <row r="24" spans="1:7" hidden="1" x14ac:dyDescent="0.25">
      <c r="A24" s="98" t="str">
        <f t="shared" si="0"/>
        <v>Schemat K' w opracowaniu</v>
      </c>
      <c r="B24" s="92" t="s">
        <v>1277</v>
      </c>
      <c r="C24" s="91"/>
      <c r="D24" s="91"/>
      <c r="E24" s="92" t="s">
        <v>1282</v>
      </c>
      <c r="F24" t="s">
        <v>1285</v>
      </c>
      <c r="G24" t="s">
        <v>1290</v>
      </c>
    </row>
    <row r="25" spans="1:7" hidden="1" x14ac:dyDescent="0.25">
      <c r="A25" s="98" t="str">
        <f t="shared" si="0"/>
        <v>TYLKO PVC</v>
      </c>
      <c r="B25" s="92" t="s">
        <v>220</v>
      </c>
      <c r="C25" s="91"/>
      <c r="D25" s="91"/>
      <c r="E25" s="92" t="s">
        <v>688</v>
      </c>
      <c r="F25" t="s">
        <v>720</v>
      </c>
      <c r="G25" t="s">
        <v>863</v>
      </c>
    </row>
    <row r="26" spans="1:7" hidden="1" x14ac:dyDescent="0.25">
      <c r="A26" s="98" t="str">
        <f t="shared" si="0"/>
        <v>TYLKO DREWNO</v>
      </c>
      <c r="B26" s="92" t="s">
        <v>221</v>
      </c>
      <c r="C26" s="91"/>
      <c r="D26" s="91"/>
      <c r="E26" s="92" t="s">
        <v>689</v>
      </c>
      <c r="F26" t="s">
        <v>721</v>
      </c>
      <c r="G26" t="s">
        <v>864</v>
      </c>
    </row>
    <row r="27" spans="1:7" hidden="1" x14ac:dyDescent="0.25">
      <c r="A27" s="98" t="str">
        <f t="shared" si="0"/>
        <v>TYLKO PVC</v>
      </c>
      <c r="B27" s="92" t="s">
        <v>220</v>
      </c>
      <c r="C27" s="91"/>
      <c r="D27" s="91"/>
      <c r="E27" s="92" t="s">
        <v>688</v>
      </c>
      <c r="F27" t="s">
        <v>720</v>
      </c>
      <c r="G27" t="s">
        <v>863</v>
      </c>
    </row>
    <row r="28" spans="1:7" hidden="1" x14ac:dyDescent="0.25">
      <c r="A28" s="98" t="str">
        <f t="shared" si="0"/>
        <v>TYLKO DREWNO</v>
      </c>
      <c r="B28" s="92" t="s">
        <v>221</v>
      </c>
      <c r="C28" s="91"/>
      <c r="D28" s="91"/>
      <c r="E28" s="92" t="s">
        <v>689</v>
      </c>
      <c r="F28" t="s">
        <v>721</v>
      </c>
      <c r="G28" t="s">
        <v>864</v>
      </c>
    </row>
    <row r="29" spans="1:7" hidden="1" x14ac:dyDescent="0.25">
      <c r="A29" s="98" t="str">
        <f t="shared" si="0"/>
        <v>TYLKO PVC</v>
      </c>
      <c r="B29" s="92" t="s">
        <v>220</v>
      </c>
      <c r="C29" s="91"/>
      <c r="D29" s="91"/>
      <c r="E29" s="92" t="s">
        <v>688</v>
      </c>
      <c r="F29" t="s">
        <v>720</v>
      </c>
      <c r="G29" t="s">
        <v>863</v>
      </c>
    </row>
    <row r="30" spans="1:7" hidden="1" x14ac:dyDescent="0.25">
      <c r="A30" s="98" t="str">
        <f t="shared" si="0"/>
        <v>TYLKO DREWNO</v>
      </c>
      <c r="B30" s="92" t="s">
        <v>221</v>
      </c>
      <c r="C30" s="91"/>
      <c r="D30" s="91"/>
      <c r="E30" s="92" t="s">
        <v>689</v>
      </c>
      <c r="F30" t="s">
        <v>721</v>
      </c>
      <c r="G30" t="s">
        <v>864</v>
      </c>
    </row>
    <row r="31" spans="1:7" hidden="1" x14ac:dyDescent="0.25">
      <c r="A31" s="98" t="str">
        <f t="shared" si="0"/>
        <v xml:space="preserve">  Profil:</v>
      </c>
      <c r="B31" s="92" t="s">
        <v>70</v>
      </c>
      <c r="C31" s="91"/>
      <c r="D31" s="91"/>
      <c r="E31" s="92" t="s">
        <v>692</v>
      </c>
      <c r="F31" t="s">
        <v>690</v>
      </c>
      <c r="G31" t="s">
        <v>865</v>
      </c>
    </row>
    <row r="32" spans="1:7" hidden="1" x14ac:dyDescent="0.25">
      <c r="A32" s="98" t="str">
        <f t="shared" si="0"/>
        <v xml:space="preserve">Powrót </v>
      </c>
      <c r="B32" s="92" t="s">
        <v>228</v>
      </c>
      <c r="C32" s="91"/>
      <c r="D32" s="91"/>
      <c r="E32" t="s">
        <v>362</v>
      </c>
      <c r="F32" t="s">
        <v>361</v>
      </c>
      <c r="G32" t="s">
        <v>866</v>
      </c>
    </row>
    <row r="33" spans="1:7" hidden="1" x14ac:dyDescent="0.25">
      <c r="A33" s="98" t="str">
        <f t="shared" si="0"/>
        <v>Wymiary:</v>
      </c>
      <c r="B33" s="92" t="s">
        <v>224</v>
      </c>
      <c r="C33" s="91"/>
      <c r="D33" s="91"/>
      <c r="E33" t="s">
        <v>746</v>
      </c>
      <c r="F33" t="s">
        <v>722</v>
      </c>
      <c r="G33" t="s">
        <v>867</v>
      </c>
    </row>
    <row r="34" spans="1:7" hidden="1" x14ac:dyDescent="0.25">
      <c r="A34" s="98" t="str">
        <f t="shared" si="0"/>
        <v>Ciężar skrzydła max 200 kg</v>
      </c>
      <c r="B34" s="92" t="s">
        <v>238</v>
      </c>
      <c r="C34" s="91"/>
      <c r="D34" s="91"/>
      <c r="E34" s="92" t="s">
        <v>691</v>
      </c>
      <c r="F34" t="s">
        <v>723</v>
      </c>
      <c r="G34" t="s">
        <v>868</v>
      </c>
    </row>
    <row r="35" spans="1:7" hidden="1" x14ac:dyDescent="0.25">
      <c r="A35" s="98" t="str">
        <f t="shared" si="0"/>
        <v>Uzupełniamy żółte pola ↓</v>
      </c>
      <c r="B35" s="92" t="s">
        <v>350</v>
      </c>
      <c r="C35" s="91"/>
      <c r="D35" s="91"/>
      <c r="E35" t="s">
        <v>745</v>
      </c>
      <c r="F35" t="s">
        <v>724</v>
      </c>
      <c r="G35" t="s">
        <v>869</v>
      </c>
    </row>
    <row r="36" spans="1:7" hidden="1" x14ac:dyDescent="0.25">
      <c r="A36" s="98" t="str">
        <f t="shared" si="0"/>
        <v>Szerokość ościeżnicy FB:</v>
      </c>
      <c r="B36" s="92" t="s">
        <v>241</v>
      </c>
      <c r="C36" s="91"/>
      <c r="D36" s="91"/>
      <c r="E36" t="s">
        <v>693</v>
      </c>
      <c r="F36" t="s">
        <v>725</v>
      </c>
      <c r="G36" t="s">
        <v>1142</v>
      </c>
    </row>
    <row r="37" spans="1:7" hidden="1" x14ac:dyDescent="0.25">
      <c r="A37" s="98" t="str">
        <f t="shared" si="0"/>
        <v>Wysokość ościeżnicy FH:</v>
      </c>
      <c r="B37" s="92" t="s">
        <v>240</v>
      </c>
      <c r="C37" s="91"/>
      <c r="D37" s="91"/>
      <c r="E37" t="s">
        <v>694</v>
      </c>
      <c r="F37" t="s">
        <v>726</v>
      </c>
      <c r="G37" t="s">
        <v>1143</v>
      </c>
    </row>
    <row r="38" spans="1:7" hidden="1" x14ac:dyDescent="0.25">
      <c r="A38" s="98" t="str">
        <f t="shared" si="0"/>
        <v>FFB szerokość skrzydła na wrębie (min: 710 mm; max: 1500 mm):</v>
      </c>
      <c r="B38" s="92" t="s">
        <v>227</v>
      </c>
      <c r="C38" s="91"/>
      <c r="D38" s="91"/>
      <c r="E38" t="s">
        <v>695</v>
      </c>
      <c r="F38" t="s">
        <v>727</v>
      </c>
      <c r="G38" t="s">
        <v>870</v>
      </c>
    </row>
    <row r="39" spans="1:7" hidden="1" x14ac:dyDescent="0.25">
      <c r="A39" s="98" t="str">
        <f t="shared" si="0"/>
        <v>FFH wysokość skrzydła na wrębie (min: 600 mm; max: 2500 mm):</v>
      </c>
      <c r="B39" s="92" t="s">
        <v>1263</v>
      </c>
      <c r="C39" s="91"/>
      <c r="D39" s="91"/>
      <c r="E39" t="s">
        <v>1264</v>
      </c>
      <c r="F39" t="s">
        <v>1265</v>
      </c>
      <c r="G39" t="s">
        <v>1266</v>
      </c>
    </row>
    <row r="40" spans="1:7" s="98" customFormat="1" hidden="1" x14ac:dyDescent="0.25">
      <c r="A40" s="98" t="str">
        <f t="shared" si="0"/>
        <v>FFH wysokość skrzydła na wrębie (min: 1072 mm; max: 2500 mm):</v>
      </c>
      <c r="B40" s="92" t="s">
        <v>1434</v>
      </c>
      <c r="C40" s="91"/>
      <c r="D40" s="91"/>
      <c r="E40" s="98" t="s">
        <v>1435</v>
      </c>
      <c r="F40" s="98" t="s">
        <v>1436</v>
      </c>
      <c r="G40" s="98" t="s">
        <v>1437</v>
      </c>
    </row>
    <row r="41" spans="1:7" hidden="1" x14ac:dyDescent="0.25">
      <c r="A41" s="98" t="str">
        <f t="shared" si="0"/>
        <v>Proporcje: max 2:1</v>
      </c>
      <c r="B41" s="92" t="s">
        <v>74</v>
      </c>
      <c r="C41" s="91"/>
      <c r="D41" s="91"/>
      <c r="E41" t="s">
        <v>696</v>
      </c>
      <c r="F41" t="s">
        <v>728</v>
      </c>
      <c r="G41" t="s">
        <v>871</v>
      </c>
    </row>
    <row r="42" spans="1:7" hidden="1" x14ac:dyDescent="0.25">
      <c r="A42" s="98" t="str">
        <f t="shared" si="0"/>
        <v>Ilość:</v>
      </c>
      <c r="B42" s="92" t="s">
        <v>72</v>
      </c>
      <c r="C42" s="91"/>
      <c r="D42" s="91"/>
      <c r="E42" t="s">
        <v>697</v>
      </c>
      <c r="F42" t="s">
        <v>729</v>
      </c>
      <c r="G42" t="s">
        <v>872</v>
      </c>
    </row>
    <row r="43" spans="1:7" hidden="1" x14ac:dyDescent="0.25">
      <c r="A43" s="98" t="str">
        <f t="shared" si="0"/>
        <v>prawidłowe</v>
      </c>
      <c r="B43" s="1" t="s">
        <v>355</v>
      </c>
      <c r="C43" s="91"/>
      <c r="D43" s="91"/>
      <c r="E43" t="s">
        <v>698</v>
      </c>
      <c r="F43" t="s">
        <v>359</v>
      </c>
      <c r="G43" t="s">
        <v>873</v>
      </c>
    </row>
    <row r="44" spans="1:7" hidden="1" x14ac:dyDescent="0.25">
      <c r="A44" s="98" t="str">
        <f t="shared" si="0"/>
        <v>nieprawidłowe</v>
      </c>
      <c r="B44" s="5" t="s">
        <v>358</v>
      </c>
      <c r="C44" s="91"/>
      <c r="D44" s="91"/>
      <c r="E44" t="s">
        <v>699</v>
      </c>
      <c r="F44" t="s">
        <v>360</v>
      </c>
      <c r="G44" t="s">
        <v>874</v>
      </c>
    </row>
    <row r="45" spans="1:7" hidden="1" x14ac:dyDescent="0.25">
      <c r="A45" s="98" t="str">
        <f t="shared" si="0"/>
        <v>Kierunek otwierania:</v>
      </c>
      <c r="B45" s="92" t="s">
        <v>71</v>
      </c>
      <c r="C45" s="91"/>
      <c r="D45" s="91"/>
      <c r="E45" t="s">
        <v>700</v>
      </c>
      <c r="F45" t="s">
        <v>730</v>
      </c>
      <c r="G45" t="s">
        <v>875</v>
      </c>
    </row>
    <row r="46" spans="1:7" s="98" customFormat="1" hidden="1" x14ac:dyDescent="0.25">
      <c r="A46" s="98" t="str">
        <f t="shared" si="0"/>
        <v>Kierunek otwierania skrzydła czynnego:</v>
      </c>
      <c r="B46" s="92" t="s">
        <v>1268</v>
      </c>
      <c r="C46" s="91"/>
      <c r="D46" s="91"/>
      <c r="E46" s="98" t="s">
        <v>1273</v>
      </c>
      <c r="F46" s="98" t="s">
        <v>1269</v>
      </c>
      <c r="G46" s="98" t="s">
        <v>875</v>
      </c>
    </row>
    <row r="47" spans="1:7" hidden="1" x14ac:dyDescent="0.25">
      <c r="A47" s="98" t="str">
        <f t="shared" si="0"/>
        <v xml:space="preserve">  Kolor osłonek:</v>
      </c>
      <c r="B47" s="92" t="s">
        <v>94</v>
      </c>
      <c r="C47" s="91"/>
      <c r="D47" s="91"/>
      <c r="E47" t="s">
        <v>701</v>
      </c>
      <c r="F47" t="s">
        <v>731</v>
      </c>
      <c r="G47" t="s">
        <v>876</v>
      </c>
    </row>
    <row r="48" spans="1:7" hidden="1" x14ac:dyDescent="0.25">
      <c r="A48" s="98" t="str">
        <f t="shared" si="0"/>
        <v>Rodzaj zasuwnicy (z wkładką bębenkową FFH&gt;1801):</v>
      </c>
      <c r="B48" s="92" t="s">
        <v>73</v>
      </c>
      <c r="C48" s="91"/>
      <c r="D48" s="91"/>
      <c r="E48" t="s">
        <v>702</v>
      </c>
      <c r="F48" t="s">
        <v>732</v>
      </c>
      <c r="G48" t="s">
        <v>877</v>
      </c>
    </row>
    <row r="49" spans="1:7" s="98" customFormat="1" hidden="1" x14ac:dyDescent="0.25">
      <c r="A49" s="98" t="str">
        <f t="shared" si="0"/>
        <v>Rodzaj zasuwnicy w skrzydle czynnym (z wkładką bębenkową FFH&gt;1801):</v>
      </c>
      <c r="B49" s="92" t="s">
        <v>229</v>
      </c>
      <c r="C49" s="91"/>
      <c r="D49" s="91"/>
      <c r="E49" s="98" t="s">
        <v>822</v>
      </c>
      <c r="F49" s="98" t="s">
        <v>823</v>
      </c>
      <c r="G49" s="98" t="s">
        <v>878</v>
      </c>
    </row>
    <row r="50" spans="1:7" hidden="1" x14ac:dyDescent="0.25">
      <c r="A50" s="98" t="str">
        <f t="shared" si="0"/>
        <v>Klamka:</v>
      </c>
      <c r="B50" s="92" t="s">
        <v>83</v>
      </c>
      <c r="C50" s="91"/>
      <c r="D50" s="91"/>
      <c r="E50" t="s">
        <v>703</v>
      </c>
      <c r="F50" t="s">
        <v>733</v>
      </c>
      <c r="G50" t="s">
        <v>879</v>
      </c>
    </row>
    <row r="51" spans="1:7" hidden="1" x14ac:dyDescent="0.25">
      <c r="A51" s="98" t="str">
        <f t="shared" si="0"/>
        <v>Kolor klamki:</v>
      </c>
      <c r="B51" s="92" t="s">
        <v>98</v>
      </c>
      <c r="C51" s="91"/>
      <c r="D51" s="91"/>
      <c r="E51" t="s">
        <v>704</v>
      </c>
      <c r="F51" t="s">
        <v>734</v>
      </c>
      <c r="G51" t="s">
        <v>880</v>
      </c>
    </row>
    <row r="52" spans="1:7" hidden="1" x14ac:dyDescent="0.25">
      <c r="A52" s="98" t="str">
        <f t="shared" si="0"/>
        <v>Trzpień:</v>
      </c>
      <c r="B52" s="92" t="s">
        <v>191</v>
      </c>
      <c r="C52" s="91"/>
      <c r="D52" s="91"/>
      <c r="E52" t="s">
        <v>705</v>
      </c>
      <c r="F52" t="s">
        <v>735</v>
      </c>
      <c r="G52" t="s">
        <v>881</v>
      </c>
    </row>
    <row r="53" spans="1:7" hidden="1" x14ac:dyDescent="0.25">
      <c r="A53" s="98" t="str">
        <f t="shared" si="0"/>
        <v>Aluplast -&gt; klamka z trzpieniem 37mm</v>
      </c>
      <c r="B53" s="1" t="s">
        <v>356</v>
      </c>
      <c r="C53" s="91"/>
      <c r="D53" s="91"/>
      <c r="E53" t="s">
        <v>706</v>
      </c>
      <c r="F53" t="s">
        <v>736</v>
      </c>
      <c r="G53" t="s">
        <v>1288</v>
      </c>
    </row>
    <row r="54" spans="1:7" hidden="1" x14ac:dyDescent="0.25">
      <c r="A54" s="98" t="str">
        <f t="shared" si="0"/>
        <v/>
      </c>
      <c r="B54" s="1" t="str">
        <f>""</f>
        <v/>
      </c>
      <c r="C54" s="91"/>
      <c r="D54" s="91"/>
    </row>
    <row r="55" spans="1:7" hidden="1" x14ac:dyDescent="0.25">
      <c r="A55" s="98" t="str">
        <f t="shared" si="0"/>
        <v>Gealan -&gt; klamka z trzpieniem 43mm</v>
      </c>
      <c r="B55" s="1" t="s">
        <v>838</v>
      </c>
      <c r="C55" s="91"/>
      <c r="D55" s="91"/>
      <c r="E55" t="s">
        <v>839</v>
      </c>
      <c r="F55" t="s">
        <v>840</v>
      </c>
      <c r="G55" t="s">
        <v>882</v>
      </c>
    </row>
    <row r="56" spans="1:7" s="98" customFormat="1" hidden="1" x14ac:dyDescent="0.25">
      <c r="A56" s="98" t="str">
        <f t="shared" si="0"/>
        <v>Uwaga! W przypadku zastosowania klamki obustronnej wybierz trzpień i klamkę obustronną</v>
      </c>
      <c r="B56" s="1" t="s">
        <v>1122</v>
      </c>
      <c r="C56" s="91"/>
      <c r="D56" s="91"/>
      <c r="E56" t="s">
        <v>835</v>
      </c>
      <c r="F56" t="s">
        <v>834</v>
      </c>
      <c r="G56" s="98" t="s">
        <v>883</v>
      </c>
    </row>
    <row r="57" spans="1:7" hidden="1" x14ac:dyDescent="0.25">
      <c r="A57" s="98" t="str">
        <f t="shared" si="0"/>
        <v>Pochwyt od zewnątrz:</v>
      </c>
      <c r="B57" s="92" t="s">
        <v>109</v>
      </c>
      <c r="C57" s="91"/>
      <c r="D57" s="91"/>
      <c r="E57" t="s">
        <v>707</v>
      </c>
      <c r="F57" t="s">
        <v>737</v>
      </c>
      <c r="G57" t="s">
        <v>884</v>
      </c>
    </row>
    <row r="58" spans="1:7" hidden="1" x14ac:dyDescent="0.25">
      <c r="A58" s="98" t="str">
        <f t="shared" si="0"/>
        <v>Dobór Roto Patio Inowa, schemat A</v>
      </c>
      <c r="B58" s="92" t="s">
        <v>288</v>
      </c>
      <c r="C58" s="91"/>
      <c r="D58" s="91"/>
      <c r="E58" t="s">
        <v>357</v>
      </c>
      <c r="F58" t="s">
        <v>714</v>
      </c>
      <c r="G58" t="s">
        <v>856</v>
      </c>
    </row>
    <row r="59" spans="1:7" s="98" customFormat="1" hidden="1" x14ac:dyDescent="0.25">
      <c r="A59" s="98" t="str">
        <f t="shared" si="0"/>
        <v>Dobór Roto Patio Inowa, schemat A RC2</v>
      </c>
      <c r="B59" s="92" t="s">
        <v>1496</v>
      </c>
      <c r="C59" s="91"/>
      <c r="D59" s="91"/>
      <c r="E59" s="98" t="s">
        <v>1431</v>
      </c>
      <c r="F59" s="98" t="s">
        <v>1432</v>
      </c>
      <c r="G59" s="98" t="s">
        <v>1497</v>
      </c>
    </row>
    <row r="60" spans="1:7" hidden="1" x14ac:dyDescent="0.25">
      <c r="A60" s="98" t="str">
        <f t="shared" si="0"/>
        <v>Dobór Roto Patio Inowa, schemat A'</v>
      </c>
      <c r="B60" s="92" t="s">
        <v>291</v>
      </c>
      <c r="C60" s="91"/>
      <c r="D60" s="91"/>
      <c r="E60" t="s">
        <v>683</v>
      </c>
      <c r="F60" t="s">
        <v>715</v>
      </c>
      <c r="G60" t="s">
        <v>885</v>
      </c>
    </row>
    <row r="61" spans="1:7" hidden="1" x14ac:dyDescent="0.25">
      <c r="A61" s="98" t="str">
        <f t="shared" si="0"/>
        <v>Dobór Roto Patio Inowa, schemat C</v>
      </c>
      <c r="B61" s="92" t="s">
        <v>292</v>
      </c>
      <c r="C61" s="91"/>
      <c r="D61" s="91"/>
      <c r="E61" t="s">
        <v>684</v>
      </c>
      <c r="F61" t="s">
        <v>716</v>
      </c>
      <c r="G61" t="s">
        <v>886</v>
      </c>
    </row>
    <row r="62" spans="1:7" hidden="1" x14ac:dyDescent="0.25">
      <c r="A62" s="98" t="str">
        <f t="shared" si="0"/>
        <v>Dobór Roto Patio Inowa, schemat C'</v>
      </c>
      <c r="B62" s="92" t="s">
        <v>293</v>
      </c>
      <c r="C62" s="91"/>
      <c r="D62" s="91"/>
      <c r="E62" t="s">
        <v>685</v>
      </c>
      <c r="F62" t="s">
        <v>717</v>
      </c>
      <c r="G62" t="s">
        <v>887</v>
      </c>
    </row>
    <row r="63" spans="1:7" hidden="1" x14ac:dyDescent="0.25">
      <c r="A63" s="98" t="str">
        <f t="shared" si="0"/>
        <v>Kierunek</v>
      </c>
      <c r="B63" s="92" t="s">
        <v>301</v>
      </c>
      <c r="C63" s="91"/>
      <c r="D63" s="91"/>
      <c r="E63" t="s">
        <v>700</v>
      </c>
      <c r="F63" t="s">
        <v>730</v>
      </c>
      <c r="G63" t="s">
        <v>888</v>
      </c>
    </row>
    <row r="64" spans="1:7" hidden="1" x14ac:dyDescent="0.25">
      <c r="A64" s="98" t="str">
        <f t="shared" si="0"/>
        <v>Lewe --&gt;</v>
      </c>
      <c r="B64" s="1" t="s">
        <v>294</v>
      </c>
      <c r="C64" s="91"/>
      <c r="D64" s="91"/>
      <c r="E64" t="s">
        <v>708</v>
      </c>
      <c r="F64" t="s">
        <v>738</v>
      </c>
      <c r="G64" t="s">
        <v>889</v>
      </c>
    </row>
    <row r="65" spans="1:7" hidden="1" x14ac:dyDescent="0.25">
      <c r="A65" s="98" t="str">
        <f t="shared" si="0"/>
        <v>Prawe &lt;--</v>
      </c>
      <c r="B65" s="5" t="s">
        <v>295</v>
      </c>
      <c r="C65" s="91"/>
      <c r="D65" s="91"/>
      <c r="E65" t="s">
        <v>709</v>
      </c>
      <c r="F65" t="s">
        <v>739</v>
      </c>
      <c r="G65" t="s">
        <v>890</v>
      </c>
    </row>
    <row r="66" spans="1:7" hidden="1" x14ac:dyDescent="0.25">
      <c r="A66" s="98" t="str">
        <f t="shared" si="0"/>
        <v>Artykuł</v>
      </c>
      <c r="B66" s="92" t="s">
        <v>201</v>
      </c>
      <c r="C66" s="91"/>
      <c r="D66" s="91"/>
      <c r="E66" t="s">
        <v>710</v>
      </c>
      <c r="F66" t="s">
        <v>740</v>
      </c>
      <c r="G66" t="s">
        <v>891</v>
      </c>
    </row>
    <row r="67" spans="1:7" hidden="1" x14ac:dyDescent="0.25">
      <c r="A67" s="98" t="str">
        <f t="shared" si="0"/>
        <v>Ilość szt .</v>
      </c>
      <c r="B67" s="92" t="s">
        <v>203</v>
      </c>
      <c r="C67" s="91"/>
      <c r="D67" s="91"/>
      <c r="E67" t="s">
        <v>697</v>
      </c>
      <c r="F67" t="s">
        <v>729</v>
      </c>
      <c r="G67" t="s">
        <v>872</v>
      </c>
    </row>
    <row r="68" spans="1:7" hidden="1" x14ac:dyDescent="0.25">
      <c r="A68" s="98" t="str">
        <f t="shared" si="0"/>
        <v>Na zlecenie</v>
      </c>
      <c r="B68" s="92" t="s">
        <v>202</v>
      </c>
      <c r="C68" s="91"/>
      <c r="D68" s="91"/>
      <c r="E68" t="s">
        <v>741</v>
      </c>
      <c r="F68" t="s">
        <v>711</v>
      </c>
      <c r="G68" t="s">
        <v>892</v>
      </c>
    </row>
    <row r="69" spans="1:7" hidden="1" x14ac:dyDescent="0.25">
      <c r="A69" s="98" t="str">
        <f t="shared" si="0"/>
        <v>Zamówienie szablonów i dokumentacji</v>
      </c>
      <c r="B69" s="85" t="s">
        <v>306</v>
      </c>
      <c r="C69" s="91"/>
      <c r="D69" s="91"/>
      <c r="E69" t="s">
        <v>712</v>
      </c>
      <c r="F69" t="s">
        <v>766</v>
      </c>
      <c r="G69" t="s">
        <v>893</v>
      </c>
    </row>
    <row r="70" spans="1:7" hidden="1" x14ac:dyDescent="0.25">
      <c r="A70" s="98" t="str">
        <f t="shared" si="0"/>
        <v>Certyfikat</v>
      </c>
      <c r="B70" s="76" t="s">
        <v>307</v>
      </c>
      <c r="C70" s="91"/>
      <c r="D70" s="91"/>
      <c r="E70" t="s">
        <v>713</v>
      </c>
      <c r="F70" t="s">
        <v>742</v>
      </c>
      <c r="G70" t="s">
        <v>894</v>
      </c>
    </row>
    <row r="71" spans="1:7" hidden="1" x14ac:dyDescent="0.25">
      <c r="A71" s="98" t="str">
        <f t="shared" si="0"/>
        <v>Uwaga! Zamknięcie środkowe nie zostało dobrane z uwagi na niepoprawną szerokość skrzydła</v>
      </c>
      <c r="B71" s="5" t="s">
        <v>750</v>
      </c>
      <c r="C71" s="91"/>
      <c r="D71" s="91"/>
      <c r="E71" t="s">
        <v>752</v>
      </c>
      <c r="F71" t="s">
        <v>751</v>
      </c>
      <c r="G71" t="s">
        <v>895</v>
      </c>
    </row>
    <row r="72" spans="1:7" hidden="1" x14ac:dyDescent="0.25">
      <c r="A72" s="98" t="str">
        <f t="shared" si="0"/>
        <v>Za wąskie</v>
      </c>
      <c r="B72" s="81" t="s">
        <v>755</v>
      </c>
      <c r="E72" t="s">
        <v>757</v>
      </c>
      <c r="F72" t="s">
        <v>761</v>
      </c>
      <c r="G72" t="s">
        <v>896</v>
      </c>
    </row>
    <row r="73" spans="1:7" hidden="1" x14ac:dyDescent="0.25">
      <c r="A73" s="98" t="str">
        <f t="shared" si="0"/>
        <v>Za szerokie</v>
      </c>
      <c r="B73" s="81" t="s">
        <v>753</v>
      </c>
      <c r="C73" s="91"/>
      <c r="D73" s="91"/>
      <c r="E73" t="s">
        <v>758</v>
      </c>
      <c r="F73" t="s">
        <v>762</v>
      </c>
      <c r="G73" t="s">
        <v>897</v>
      </c>
    </row>
    <row r="74" spans="1:7" hidden="1" x14ac:dyDescent="0.25">
      <c r="A74" s="98" t="str">
        <f t="shared" si="0"/>
        <v>Za niskie</v>
      </c>
      <c r="B74" s="81" t="s">
        <v>754</v>
      </c>
      <c r="C74" s="91"/>
      <c r="D74" s="91"/>
      <c r="E74" t="s">
        <v>759</v>
      </c>
      <c r="F74" t="s">
        <v>763</v>
      </c>
      <c r="G74" t="s">
        <v>898</v>
      </c>
    </row>
    <row r="75" spans="1:7" hidden="1" x14ac:dyDescent="0.25">
      <c r="A75" s="98" t="str">
        <f t="shared" si="0"/>
        <v>Za wysokie</v>
      </c>
      <c r="B75" s="81" t="s">
        <v>756</v>
      </c>
      <c r="C75" s="91"/>
      <c r="D75" s="91"/>
      <c r="E75" t="s">
        <v>760</v>
      </c>
      <c r="F75" t="s">
        <v>764</v>
      </c>
      <c r="G75" t="s">
        <v>899</v>
      </c>
    </row>
    <row r="76" spans="1:7" ht="15.75" hidden="1" x14ac:dyDescent="0.25">
      <c r="A76" s="98" t="str">
        <f t="shared" si="0"/>
        <v>Klamka skrzydło czynne:</v>
      </c>
      <c r="B76" s="94" t="s">
        <v>232</v>
      </c>
      <c r="E76" t="s">
        <v>768</v>
      </c>
      <c r="F76" t="s">
        <v>772</v>
      </c>
      <c r="G76" t="s">
        <v>900</v>
      </c>
    </row>
    <row r="77" spans="1:7" ht="15.75" hidden="1" x14ac:dyDescent="0.25">
      <c r="A77" s="98" t="str">
        <f t="shared" si="0"/>
        <v>Klamka skrzydło bierne:</v>
      </c>
      <c r="B77" s="94" t="s">
        <v>767</v>
      </c>
      <c r="E77" t="s">
        <v>769</v>
      </c>
      <c r="F77" t="s">
        <v>773</v>
      </c>
      <c r="G77" t="s">
        <v>901</v>
      </c>
    </row>
    <row r="78" spans="1:7" ht="15.75" hidden="1" x14ac:dyDescent="0.25">
      <c r="A78" s="98" t="str">
        <f t="shared" ref="A78:A132" si="1">IF($A$7=1,B78,IF($A$7=2,E78,IF($A$7=3,F78,IF($A$7=4,G78))))</f>
        <v>Dornmass - skrzydło czynne:</v>
      </c>
      <c r="B78" s="95" t="s">
        <v>273</v>
      </c>
      <c r="E78" t="s">
        <v>770</v>
      </c>
      <c r="F78" t="s">
        <v>774</v>
      </c>
      <c r="G78" t="s">
        <v>902</v>
      </c>
    </row>
    <row r="79" spans="1:7" ht="15.75" hidden="1" x14ac:dyDescent="0.25">
      <c r="A79" s="98" t="str">
        <f t="shared" si="1"/>
        <v>Dornmass - skrzydło bierne:</v>
      </c>
      <c r="B79" s="95" t="s">
        <v>278</v>
      </c>
      <c r="E79" t="s">
        <v>771</v>
      </c>
      <c r="F79" t="s">
        <v>775</v>
      </c>
      <c r="G79" t="s">
        <v>903</v>
      </c>
    </row>
    <row r="80" spans="1:7" hidden="1" x14ac:dyDescent="0.25">
      <c r="A80" s="98" t="str">
        <f t="shared" si="1"/>
        <v>Klamka 200mm</v>
      </c>
      <c r="B80" s="6" t="s">
        <v>95</v>
      </c>
      <c r="E80" t="s">
        <v>777</v>
      </c>
      <c r="F80" t="s">
        <v>776</v>
      </c>
      <c r="G80" t="s">
        <v>904</v>
      </c>
    </row>
    <row r="81" spans="1:7" s="98" customFormat="1" hidden="1" x14ac:dyDescent="0.25">
      <c r="A81" s="98" t="str">
        <f t="shared" si="1"/>
        <v>Klamka 200mm z przyciskiem</v>
      </c>
      <c r="B81" s="6" t="s">
        <v>1358</v>
      </c>
      <c r="E81" s="98" t="s">
        <v>1359</v>
      </c>
      <c r="F81" s="98" t="s">
        <v>1360</v>
      </c>
      <c r="G81" s="98" t="s">
        <v>1361</v>
      </c>
    </row>
    <row r="82" spans="1:7" hidden="1" x14ac:dyDescent="0.25">
      <c r="A82" s="98" t="str">
        <f t="shared" si="1"/>
        <v>Klamka 200mm 100Nm</v>
      </c>
      <c r="B82" s="6" t="s">
        <v>96</v>
      </c>
      <c r="E82" t="s">
        <v>820</v>
      </c>
      <c r="F82" t="s">
        <v>821</v>
      </c>
      <c r="G82" t="s">
        <v>905</v>
      </c>
    </row>
    <row r="83" spans="1:7" hidden="1" x14ac:dyDescent="0.25">
      <c r="A83" s="98" t="str">
        <f t="shared" si="1"/>
        <v>Klamka 200mm obustronna</v>
      </c>
      <c r="B83" s="6" t="s">
        <v>97</v>
      </c>
      <c r="E83" t="s">
        <v>778</v>
      </c>
      <c r="F83" t="s">
        <v>806</v>
      </c>
      <c r="G83" t="s">
        <v>906</v>
      </c>
    </row>
    <row r="84" spans="1:7" hidden="1" x14ac:dyDescent="0.25">
      <c r="A84" s="98" t="str">
        <f t="shared" si="1"/>
        <v>32mm</v>
      </c>
      <c r="B84" s="6" t="s">
        <v>192</v>
      </c>
      <c r="E84" t="s">
        <v>192</v>
      </c>
      <c r="F84" t="s">
        <v>192</v>
      </c>
      <c r="G84" t="s">
        <v>907</v>
      </c>
    </row>
    <row r="85" spans="1:7" hidden="1" x14ac:dyDescent="0.25">
      <c r="A85" s="98" t="str">
        <f t="shared" si="1"/>
        <v>37mm</v>
      </c>
      <c r="B85" s="6" t="s">
        <v>193</v>
      </c>
      <c r="E85" t="s">
        <v>193</v>
      </c>
      <c r="F85" t="s">
        <v>193</v>
      </c>
      <c r="G85" t="s">
        <v>908</v>
      </c>
    </row>
    <row r="86" spans="1:7" hidden="1" x14ac:dyDescent="0.25">
      <c r="A86" s="98" t="str">
        <f t="shared" si="1"/>
        <v>43mm</v>
      </c>
      <c r="B86" s="6" t="s">
        <v>194</v>
      </c>
      <c r="E86" t="s">
        <v>194</v>
      </c>
      <c r="F86" t="s">
        <v>194</v>
      </c>
      <c r="G86" t="s">
        <v>909</v>
      </c>
    </row>
    <row r="87" spans="1:7" hidden="1" x14ac:dyDescent="0.25">
      <c r="A87" s="98" t="str">
        <f t="shared" si="1"/>
        <v>100mm dwustronna</v>
      </c>
      <c r="B87" s="6" t="s">
        <v>198</v>
      </c>
      <c r="E87" t="s">
        <v>779</v>
      </c>
      <c r="F87" t="s">
        <v>807</v>
      </c>
      <c r="G87" t="s">
        <v>910</v>
      </c>
    </row>
    <row r="88" spans="1:7" hidden="1" x14ac:dyDescent="0.25">
      <c r="A88" s="98" t="str">
        <f t="shared" si="1"/>
        <v>135mm dwustronna</v>
      </c>
      <c r="B88" s="6" t="s">
        <v>199</v>
      </c>
      <c r="E88" t="s">
        <v>780</v>
      </c>
      <c r="F88" t="s">
        <v>808</v>
      </c>
      <c r="G88" t="s">
        <v>911</v>
      </c>
    </row>
    <row r="89" spans="1:7" hidden="1" x14ac:dyDescent="0.25">
      <c r="A89" s="98" t="str">
        <f t="shared" si="1"/>
        <v>R01.1 Naturalny srebrny</v>
      </c>
      <c r="B89" s="6" t="s">
        <v>99</v>
      </c>
      <c r="E89" s="96" t="s">
        <v>785</v>
      </c>
      <c r="F89" s="98" t="s">
        <v>797</v>
      </c>
      <c r="G89" t="s">
        <v>912</v>
      </c>
    </row>
    <row r="90" spans="1:7" hidden="1" x14ac:dyDescent="0.25">
      <c r="A90" s="98" t="str">
        <f t="shared" si="1"/>
        <v>R01.2 Nowy srebrny</v>
      </c>
      <c r="B90" s="6" t="s">
        <v>100</v>
      </c>
      <c r="E90" s="96" t="s">
        <v>786</v>
      </c>
      <c r="F90" s="98" t="s">
        <v>798</v>
      </c>
      <c r="G90" t="s">
        <v>913</v>
      </c>
    </row>
    <row r="91" spans="1:7" hidden="1" x14ac:dyDescent="0.25">
      <c r="A91" s="98" t="str">
        <f t="shared" si="1"/>
        <v>R01.3 Tytan</v>
      </c>
      <c r="B91" s="6" t="s">
        <v>101</v>
      </c>
      <c r="E91" s="96" t="s">
        <v>787</v>
      </c>
      <c r="F91" s="98" t="s">
        <v>787</v>
      </c>
      <c r="G91" t="s">
        <v>914</v>
      </c>
    </row>
    <row r="92" spans="1:7" hidden="1" x14ac:dyDescent="0.25">
      <c r="A92" s="98" t="str">
        <f t="shared" si="1"/>
        <v>R01.5 Srebrny</v>
      </c>
      <c r="B92" s="6" t="s">
        <v>102</v>
      </c>
      <c r="E92" s="96" t="s">
        <v>788</v>
      </c>
      <c r="F92" s="98" t="s">
        <v>799</v>
      </c>
      <c r="G92" t="s">
        <v>915</v>
      </c>
    </row>
    <row r="93" spans="1:7" s="98" customFormat="1" hidden="1" x14ac:dyDescent="0.25">
      <c r="A93" s="98" t="str">
        <f t="shared" si="1"/>
        <v>R02.2 Antracyt</v>
      </c>
      <c r="B93" s="6" t="s">
        <v>1206</v>
      </c>
      <c r="E93" s="98" t="s">
        <v>1207</v>
      </c>
      <c r="F93" s="98" t="s">
        <v>1208</v>
      </c>
      <c r="G93" s="98" t="s">
        <v>1209</v>
      </c>
    </row>
    <row r="94" spans="1:7" hidden="1" x14ac:dyDescent="0.25">
      <c r="A94" s="98" t="str">
        <f>IF($A$7=1,B94,IF($A$7=2,E94,IF($A$7=3,F94,IF($A$7=4,G94))))</f>
        <v>R05.3 Średni brąz</v>
      </c>
      <c r="B94" s="6" t="s">
        <v>103</v>
      </c>
      <c r="E94" s="96" t="s">
        <v>789</v>
      </c>
      <c r="F94" s="98" t="s">
        <v>800</v>
      </c>
      <c r="G94" t="s">
        <v>916</v>
      </c>
    </row>
    <row r="95" spans="1:7" hidden="1" x14ac:dyDescent="0.25">
      <c r="A95" s="98" t="str">
        <f t="shared" si="1"/>
        <v>R05.4 Ciemny brąz</v>
      </c>
      <c r="B95" s="6" t="s">
        <v>104</v>
      </c>
      <c r="E95" s="96" t="s">
        <v>790</v>
      </c>
      <c r="F95" s="98" t="s">
        <v>801</v>
      </c>
      <c r="G95" t="s">
        <v>917</v>
      </c>
    </row>
    <row r="96" spans="1:7" hidden="1" x14ac:dyDescent="0.25">
      <c r="A96" s="98" t="str">
        <f t="shared" si="1"/>
        <v>R05.5 Brązowy</v>
      </c>
      <c r="B96" s="6" t="s">
        <v>105</v>
      </c>
      <c r="E96" s="96" t="s">
        <v>791</v>
      </c>
      <c r="F96" s="98" t="s">
        <v>791</v>
      </c>
      <c r="G96" t="s">
        <v>918</v>
      </c>
    </row>
    <row r="97" spans="1:8" hidden="1" x14ac:dyDescent="0.25">
      <c r="A97" s="98" t="str">
        <f t="shared" si="1"/>
        <v>R06.2M Czarny Mat</v>
      </c>
      <c r="B97" s="6" t="s">
        <v>106</v>
      </c>
      <c r="E97" s="96" t="s">
        <v>792</v>
      </c>
      <c r="F97" s="98" t="s">
        <v>802</v>
      </c>
      <c r="G97" t="s">
        <v>919</v>
      </c>
    </row>
    <row r="98" spans="1:8" hidden="1" x14ac:dyDescent="0.25">
      <c r="A98" s="98" t="str">
        <f t="shared" si="1"/>
        <v>R07.2 Biały</v>
      </c>
      <c r="B98" s="6" t="s">
        <v>107</v>
      </c>
      <c r="E98" s="96" t="s">
        <v>793</v>
      </c>
      <c r="F98" s="98" t="s">
        <v>803</v>
      </c>
      <c r="G98" t="s">
        <v>920</v>
      </c>
    </row>
    <row r="99" spans="1:8" hidden="1" x14ac:dyDescent="0.25">
      <c r="A99" s="98" t="str">
        <f t="shared" si="1"/>
        <v>R07.3 Kremowy</v>
      </c>
      <c r="B99" s="6" t="s">
        <v>108</v>
      </c>
      <c r="E99" s="96" t="s">
        <v>794</v>
      </c>
      <c r="F99" s="98" t="s">
        <v>804</v>
      </c>
      <c r="G99" t="s">
        <v>921</v>
      </c>
    </row>
    <row r="100" spans="1:8" s="98" customFormat="1" hidden="1" x14ac:dyDescent="0.25">
      <c r="A100" s="98" t="str">
        <f t="shared" si="1"/>
        <v>surowy</v>
      </c>
      <c r="B100" s="6" t="s">
        <v>1204</v>
      </c>
      <c r="E100" s="98" t="s">
        <v>1210</v>
      </c>
      <c r="F100" s="98" t="s">
        <v>1211</v>
      </c>
      <c r="G100" s="98" t="s">
        <v>1212</v>
      </c>
    </row>
    <row r="101" spans="1:8" hidden="1" x14ac:dyDescent="0.25">
      <c r="A101" s="98" t="str">
        <f t="shared" si="1"/>
        <v>brak</v>
      </c>
      <c r="B101" s="6" t="s">
        <v>200</v>
      </c>
      <c r="E101" s="6" t="s">
        <v>781</v>
      </c>
      <c r="F101" t="s">
        <v>782</v>
      </c>
      <c r="G101" t="s">
        <v>922</v>
      </c>
    </row>
    <row r="102" spans="1:8" hidden="1" x14ac:dyDescent="0.25">
      <c r="A102" s="98" t="str">
        <f t="shared" si="1"/>
        <v>R01.1 Naturalny srebrny</v>
      </c>
      <c r="B102" s="6" t="s">
        <v>99</v>
      </c>
      <c r="E102" s="98" t="s">
        <v>795</v>
      </c>
      <c r="F102" s="97" t="s">
        <v>797</v>
      </c>
      <c r="G102" t="s">
        <v>912</v>
      </c>
    </row>
    <row r="103" spans="1:8" hidden="1" x14ac:dyDescent="0.25">
      <c r="A103" s="98" t="str">
        <f t="shared" si="1"/>
        <v>R01.3 Tytan</v>
      </c>
      <c r="B103" s="6" t="s">
        <v>101</v>
      </c>
      <c r="E103" s="98" t="s">
        <v>787</v>
      </c>
      <c r="F103" s="97" t="s">
        <v>805</v>
      </c>
      <c r="G103" t="s">
        <v>914</v>
      </c>
    </row>
    <row r="104" spans="1:8" hidden="1" x14ac:dyDescent="0.25">
      <c r="A104" s="98" t="str">
        <f t="shared" si="1"/>
        <v>R05.3 Średni brąz</v>
      </c>
      <c r="B104" s="6" t="s">
        <v>103</v>
      </c>
      <c r="E104" s="98" t="s">
        <v>796</v>
      </c>
      <c r="F104" s="97" t="s">
        <v>800</v>
      </c>
      <c r="G104" t="s">
        <v>916</v>
      </c>
    </row>
    <row r="105" spans="1:8" hidden="1" x14ac:dyDescent="0.25">
      <c r="A105" s="98" t="str">
        <f t="shared" si="1"/>
        <v>R05.5 Brązowy</v>
      </c>
      <c r="B105" s="6" t="s">
        <v>105</v>
      </c>
      <c r="E105" s="98" t="s">
        <v>791</v>
      </c>
      <c r="F105" s="97" t="s">
        <v>791</v>
      </c>
      <c r="G105" t="s">
        <v>918</v>
      </c>
    </row>
    <row r="106" spans="1:8" hidden="1" x14ac:dyDescent="0.25">
      <c r="A106" s="98" t="str">
        <f t="shared" si="1"/>
        <v>R07.2 Biały</v>
      </c>
      <c r="B106" s="6" t="s">
        <v>107</v>
      </c>
      <c r="E106" s="98" t="s">
        <v>793</v>
      </c>
      <c r="F106" s="97" t="s">
        <v>803</v>
      </c>
      <c r="G106" t="s">
        <v>920</v>
      </c>
    </row>
    <row r="107" spans="1:8" hidden="1" x14ac:dyDescent="0.25">
      <c r="A107" s="98" t="str">
        <f t="shared" si="1"/>
        <v>R06.2 Czarny (pochwyt IS)</v>
      </c>
      <c r="B107" s="6" t="s">
        <v>343</v>
      </c>
      <c r="C107" s="91"/>
      <c r="D107" s="91"/>
      <c r="E107" s="6" t="s">
        <v>784</v>
      </c>
      <c r="F107" s="6" t="s">
        <v>783</v>
      </c>
      <c r="G107" s="91" t="s">
        <v>923</v>
      </c>
      <c r="H107" s="91"/>
    </row>
    <row r="108" spans="1:8" s="98" customFormat="1" hidden="1" x14ac:dyDescent="0.25">
      <c r="A108" s="98" t="str">
        <f t="shared" si="1"/>
        <v>Zasuwnica  bez wkładki bębenkowej</v>
      </c>
      <c r="B108" s="5" t="s">
        <v>37</v>
      </c>
      <c r="C108" s="91"/>
      <c r="D108" s="91"/>
      <c r="E108" s="6" t="s">
        <v>810</v>
      </c>
      <c r="F108" s="6" t="s">
        <v>814</v>
      </c>
      <c r="G108" s="91" t="s">
        <v>924</v>
      </c>
      <c r="H108" s="91"/>
    </row>
    <row r="109" spans="1:8" s="98" customFormat="1" hidden="1" x14ac:dyDescent="0.25">
      <c r="A109" s="98" t="str">
        <f t="shared" si="1"/>
        <v>Zasuwnica z dodatkową wkładką bębenkową</v>
      </c>
      <c r="B109" s="5" t="s">
        <v>38</v>
      </c>
      <c r="C109" s="91"/>
      <c r="D109" s="91"/>
      <c r="E109" s="6" t="s">
        <v>809</v>
      </c>
      <c r="F109" s="6" t="s">
        <v>811</v>
      </c>
      <c r="G109" s="91" t="s">
        <v>925</v>
      </c>
      <c r="H109" s="91"/>
    </row>
    <row r="110" spans="1:8" s="98" customFormat="1" hidden="1" x14ac:dyDescent="0.25">
      <c r="A110" s="98" t="str">
        <f t="shared" si="1"/>
        <v>R06.2 czarny</v>
      </c>
      <c r="B110" s="6" t="s">
        <v>57</v>
      </c>
      <c r="C110" s="91"/>
      <c r="D110" s="91"/>
      <c r="E110" s="6" t="s">
        <v>784</v>
      </c>
      <c r="F110" s="6" t="s">
        <v>783</v>
      </c>
      <c r="G110" s="91" t="s">
        <v>923</v>
      </c>
      <c r="H110" s="91"/>
    </row>
    <row r="111" spans="1:8" s="98" customFormat="1" hidden="1" x14ac:dyDescent="0.25">
      <c r="A111" s="98" t="str">
        <f t="shared" si="1"/>
        <v>R07.2 biały</v>
      </c>
      <c r="B111" s="6" t="s">
        <v>58</v>
      </c>
      <c r="C111" s="91"/>
      <c r="D111" s="91"/>
      <c r="E111" s="6" t="s">
        <v>812</v>
      </c>
      <c r="F111" s="6" t="s">
        <v>813</v>
      </c>
      <c r="G111" s="91" t="s">
        <v>920</v>
      </c>
      <c r="H111" s="91"/>
    </row>
    <row r="112" spans="1:8" s="98" customFormat="1" hidden="1" x14ac:dyDescent="0.25">
      <c r="A112" s="98" t="str">
        <f>IF($A$7=1,B112,IF($A$7=2,E112,IF($A$7=3,F112,IF($A$7=4,G112))))</f>
        <v>R05.3 średni brąz</v>
      </c>
      <c r="B112" s="6" t="s">
        <v>1148</v>
      </c>
      <c r="C112" s="91"/>
      <c r="D112" s="91"/>
      <c r="E112" s="6" t="s">
        <v>796</v>
      </c>
      <c r="F112" s="98" t="s">
        <v>800</v>
      </c>
      <c r="G112" s="98" t="s">
        <v>916</v>
      </c>
      <c r="H112" s="91"/>
    </row>
    <row r="113" spans="1:8" s="98" customFormat="1" hidden="1" x14ac:dyDescent="0.25">
      <c r="A113" s="98" t="str">
        <f t="shared" si="1"/>
        <v>R01.1 naturalny srebrny</v>
      </c>
      <c r="B113" s="6" t="s">
        <v>1149</v>
      </c>
      <c r="C113" s="91"/>
      <c r="D113" s="91"/>
      <c r="E113" s="6" t="s">
        <v>795</v>
      </c>
      <c r="F113" s="98" t="s">
        <v>797</v>
      </c>
      <c r="G113" s="98" t="s">
        <v>912</v>
      </c>
      <c r="H113" s="91"/>
    </row>
    <row r="114" spans="1:8" s="98" customFormat="1" hidden="1" x14ac:dyDescent="0.25">
      <c r="A114" s="98" t="str">
        <f t="shared" si="1"/>
        <v>zasuwnica skrzydła czynnego</v>
      </c>
      <c r="B114" s="35" t="s">
        <v>231</v>
      </c>
      <c r="C114" s="91"/>
      <c r="D114" s="91"/>
      <c r="E114" s="98" t="s">
        <v>815</v>
      </c>
      <c r="F114" s="98" t="s">
        <v>818</v>
      </c>
      <c r="G114" s="91" t="s">
        <v>926</v>
      </c>
      <c r="H114" s="91"/>
    </row>
    <row r="115" spans="1:8" s="98" customFormat="1" hidden="1" x14ac:dyDescent="0.25">
      <c r="A115" s="98" t="str">
        <f t="shared" si="1"/>
        <v>zasuwnica skrzydła biernego</v>
      </c>
      <c r="B115" s="35" t="s">
        <v>230</v>
      </c>
      <c r="C115" s="91"/>
      <c r="D115" s="91"/>
      <c r="E115" s="98" t="s">
        <v>816</v>
      </c>
      <c r="F115" s="98" t="s">
        <v>819</v>
      </c>
      <c r="G115" s="91" t="s">
        <v>927</v>
      </c>
      <c r="H115" s="91"/>
    </row>
    <row r="116" spans="1:8" s="98" customFormat="1" hidden="1" x14ac:dyDescent="0.25">
      <c r="A116" s="98" t="str">
        <f t="shared" si="1"/>
        <v>klamka skrzydło bierne</v>
      </c>
      <c r="B116" s="35" t="s">
        <v>236</v>
      </c>
      <c r="C116" s="91"/>
      <c r="D116" s="91"/>
      <c r="E116" s="98" t="s">
        <v>769</v>
      </c>
      <c r="F116" s="98" t="s">
        <v>773</v>
      </c>
      <c r="G116" s="91" t="s">
        <v>901</v>
      </c>
      <c r="H116" s="91"/>
    </row>
    <row r="117" spans="1:8" s="98" customFormat="1" hidden="1" x14ac:dyDescent="0.25">
      <c r="A117" s="98" t="str">
        <f t="shared" si="1"/>
        <v>pochwyt skrzydło czynne</v>
      </c>
      <c r="B117" s="35" t="s">
        <v>279</v>
      </c>
      <c r="C117" s="91"/>
      <c r="D117" s="91"/>
      <c r="E117" s="98" t="s">
        <v>824</v>
      </c>
      <c r="F117" s="98" t="s">
        <v>825</v>
      </c>
      <c r="G117" s="91" t="s">
        <v>928</v>
      </c>
      <c r="H117" s="91"/>
    </row>
    <row r="118" spans="1:8" s="98" customFormat="1" hidden="1" x14ac:dyDescent="0.25">
      <c r="A118" s="98" t="str">
        <f t="shared" si="1"/>
        <v>pochwyt skrzydło bierne</v>
      </c>
      <c r="B118" s="35" t="s">
        <v>235</v>
      </c>
      <c r="C118" s="91"/>
      <c r="D118" s="91"/>
      <c r="E118" s="98" t="s">
        <v>817</v>
      </c>
      <c r="F118" s="98" t="s">
        <v>826</v>
      </c>
      <c r="G118" s="91" t="s">
        <v>929</v>
      </c>
      <c r="H118" s="91"/>
    </row>
    <row r="119" spans="1:8" s="98" customFormat="1" hidden="1" x14ac:dyDescent="0.25">
      <c r="A119" s="98" t="str">
        <f t="shared" si="1"/>
        <v>W przygotowaniu</v>
      </c>
      <c r="B119" s="35" t="s">
        <v>239</v>
      </c>
      <c r="C119" s="91"/>
      <c r="D119" s="91"/>
      <c r="E119" t="s">
        <v>827</v>
      </c>
      <c r="F119" s="98" t="s">
        <v>828</v>
      </c>
      <c r="G119" s="91" t="s">
        <v>930</v>
      </c>
      <c r="H119" s="91"/>
    </row>
    <row r="120" spans="1:8" s="98" customFormat="1" hidden="1" x14ac:dyDescent="0.25">
      <c r="A120" s="98" t="str">
        <f t="shared" si="1"/>
        <v>Instrukcja montażu IMO_403_PL_Aluplast_10.2019</v>
      </c>
      <c r="B120" s="35" t="s">
        <v>1487</v>
      </c>
      <c r="C120" s="91"/>
      <c r="D120" s="91"/>
      <c r="E120" s="98" t="s">
        <v>1489</v>
      </c>
      <c r="F120" s="98" t="s">
        <v>1491</v>
      </c>
      <c r="G120" s="91" t="s">
        <v>1493</v>
      </c>
      <c r="H120" s="91"/>
    </row>
    <row r="121" spans="1:8" s="98" customFormat="1" hidden="1" x14ac:dyDescent="0.25">
      <c r="A121" s="98" t="str">
        <f t="shared" si="1"/>
        <v>Instrukcja montażu IMO_403_PL_Gealan_10.2019</v>
      </c>
      <c r="B121" s="35" t="s">
        <v>1488</v>
      </c>
      <c r="C121" s="91"/>
      <c r="D121" s="91"/>
      <c r="E121" s="98" t="s">
        <v>1490</v>
      </c>
      <c r="F121" s="98" t="s">
        <v>1492</v>
      </c>
      <c r="G121" s="91" t="s">
        <v>1494</v>
      </c>
      <c r="H121" s="91"/>
    </row>
    <row r="122" spans="1:8" s="98" customFormat="1" hidden="1" x14ac:dyDescent="0.25">
      <c r="A122" s="98" t="str">
        <f t="shared" si="1"/>
        <v>Instrukcja montażu IMO_403_DE_v7</v>
      </c>
      <c r="B122" s="99" t="s">
        <v>1479</v>
      </c>
      <c r="C122" s="91"/>
      <c r="D122" s="91"/>
      <c r="E122" s="98" t="s">
        <v>1481</v>
      </c>
      <c r="F122" s="98" t="s">
        <v>1483</v>
      </c>
      <c r="G122" s="91" t="s">
        <v>1485</v>
      </c>
      <c r="H122" s="91"/>
    </row>
    <row r="123" spans="1:8" s="98" customFormat="1" hidden="1" x14ac:dyDescent="0.25">
      <c r="A123" s="98" t="str">
        <f t="shared" si="1"/>
        <v>Instrukcja montażu IMO_403_PL_v7</v>
      </c>
      <c r="B123" s="99" t="s">
        <v>1480</v>
      </c>
      <c r="C123" s="91"/>
      <c r="D123" s="91"/>
      <c r="E123" s="98" t="s">
        <v>1482</v>
      </c>
      <c r="F123" s="98" t="s">
        <v>1484</v>
      </c>
      <c r="G123" s="91" t="s">
        <v>1486</v>
      </c>
      <c r="H123" s="91"/>
    </row>
    <row r="124" spans="1:8" s="96" customFormat="1" hidden="1" x14ac:dyDescent="0.25">
      <c r="A124" s="98" t="str">
        <f t="shared" si="1"/>
        <v>Link do instrukcji DE</v>
      </c>
      <c r="B124" s="85" t="s">
        <v>1299</v>
      </c>
      <c r="C124" s="91"/>
      <c r="D124" s="91"/>
      <c r="E124" t="s">
        <v>1300</v>
      </c>
      <c r="F124" s="91" t="s">
        <v>1301</v>
      </c>
      <c r="G124" s="91" t="s">
        <v>1302</v>
      </c>
      <c r="H124" s="91"/>
    </row>
    <row r="125" spans="1:8" s="98" customFormat="1" hidden="1" x14ac:dyDescent="0.25">
      <c r="A125" s="98" t="str">
        <f t="shared" si="1"/>
        <v>Link do instrukcji PL</v>
      </c>
      <c r="B125" s="85" t="s">
        <v>1303</v>
      </c>
      <c r="C125" s="91"/>
      <c r="D125" s="91"/>
      <c r="E125" s="98" t="s">
        <v>1306</v>
      </c>
      <c r="F125" s="91" t="s">
        <v>1304</v>
      </c>
      <c r="G125" s="91" t="s">
        <v>1305</v>
      </c>
      <c r="H125" s="91"/>
    </row>
    <row r="126" spans="1:8" s="98" customFormat="1" hidden="1" x14ac:dyDescent="0.25">
      <c r="A126" s="98" t="str">
        <f>IF($A$7=1,B126,IF($A$7=2,E126,IF($A$7=3,F126,IF($A$7=4,G126))))</f>
        <v>Montaż okuć:</v>
      </c>
      <c r="B126" s="35" t="s">
        <v>1230</v>
      </c>
      <c r="C126" s="91"/>
      <c r="D126" s="91"/>
      <c r="E126" s="6" t="s">
        <v>1231</v>
      </c>
      <c r="F126" s="91" t="s">
        <v>1232</v>
      </c>
      <c r="G126" s="91" t="s">
        <v>1233</v>
      </c>
      <c r="H126" s="91"/>
    </row>
    <row r="127" spans="1:8" s="98" customFormat="1" hidden="1" x14ac:dyDescent="0.25">
      <c r="A127" s="98" t="str">
        <f t="shared" si="1"/>
        <v>Przycinanie przycinarką</v>
      </c>
      <c r="B127" s="35" t="s">
        <v>1222</v>
      </c>
      <c r="C127" s="91"/>
      <c r="D127" s="91"/>
      <c r="E127" s="6" t="s">
        <v>1224</v>
      </c>
      <c r="F127" s="91" t="s">
        <v>1226</v>
      </c>
      <c r="G127" s="91" t="s">
        <v>1228</v>
      </c>
      <c r="H127" s="91"/>
    </row>
    <row r="128" spans="1:8" s="98" customFormat="1" hidden="1" x14ac:dyDescent="0.25">
      <c r="A128" s="98" t="str">
        <f t="shared" si="1"/>
        <v>Stosowanie nakładek montażowych</v>
      </c>
      <c r="B128" s="35" t="s">
        <v>1223</v>
      </c>
      <c r="C128" s="91"/>
      <c r="D128" s="91"/>
      <c r="E128" s="6" t="s">
        <v>1225</v>
      </c>
      <c r="F128" s="91" t="s">
        <v>1227</v>
      </c>
      <c r="G128" s="91" t="s">
        <v>1229</v>
      </c>
      <c r="H128" s="91"/>
    </row>
    <row r="129" spans="1:8" s="98" customFormat="1" hidden="1" x14ac:dyDescent="0.25">
      <c r="A129" s="98" t="str">
        <f t="shared" si="1"/>
        <v>Osłonka zaczepu antywyważeniowego:</v>
      </c>
      <c r="B129" s="118" t="s">
        <v>1270</v>
      </c>
      <c r="C129" s="91"/>
      <c r="D129" s="91"/>
      <c r="E129" s="98" t="s">
        <v>1272</v>
      </c>
      <c r="F129" s="98" t="s">
        <v>1271</v>
      </c>
      <c r="G129" t="s">
        <v>1308</v>
      </c>
      <c r="H129" s="91"/>
    </row>
    <row r="130" spans="1:8" s="98" customFormat="1" hidden="1" x14ac:dyDescent="0.25">
      <c r="A130" s="98" t="str">
        <f t="shared" si="1"/>
        <v>Klamka 200mm z przyciskiem dostępna w kolorach: R01.1, R06.2M, R07.2</v>
      </c>
      <c r="B130" s="118" t="s">
        <v>1362</v>
      </c>
      <c r="C130" s="91"/>
      <c r="D130" s="91"/>
      <c r="E130" s="98" t="s">
        <v>1363</v>
      </c>
      <c r="F130" s="98" t="s">
        <v>1364</v>
      </c>
      <c r="G130" s="98" t="s">
        <v>1365</v>
      </c>
      <c r="H130" s="91"/>
    </row>
    <row r="131" spans="1:8" s="98" customFormat="1" hidden="1" x14ac:dyDescent="0.25">
      <c r="A131" s="98" t="str">
        <f t="shared" si="1"/>
        <v>Dodatki:</v>
      </c>
      <c r="B131" s="118" t="s">
        <v>1366</v>
      </c>
      <c r="C131" s="91"/>
      <c r="D131" s="91"/>
      <c r="E131" s="98" t="s">
        <v>1376</v>
      </c>
      <c r="F131" s="98" t="s">
        <v>1377</v>
      </c>
      <c r="G131" s="98" t="s">
        <v>1378</v>
      </c>
      <c r="H131" s="91"/>
    </row>
    <row r="132" spans="1:8" s="98" customFormat="1" hidden="1" x14ac:dyDescent="0.25">
      <c r="A132" s="98" t="str">
        <f t="shared" si="1"/>
        <v>Stosować tylko dla warunku FFH ≥1200 mm</v>
      </c>
      <c r="B132" s="118" t="s">
        <v>1416</v>
      </c>
      <c r="C132" s="91"/>
      <c r="D132" s="91"/>
      <c r="E132" s="98" t="s">
        <v>1417</v>
      </c>
      <c r="F132" s="98" t="s">
        <v>1418</v>
      </c>
      <c r="H132" s="91"/>
    </row>
    <row r="133" spans="1:8" s="98" customFormat="1" hidden="1" x14ac:dyDescent="0.25">
      <c r="C133" s="91"/>
      <c r="D133" s="91"/>
      <c r="E133" s="6"/>
      <c r="F133" s="91"/>
      <c r="G133" s="91"/>
      <c r="H133" s="91"/>
    </row>
    <row r="134" spans="1:8" hidden="1" x14ac:dyDescent="0.25">
      <c r="A134" s="67" t="s">
        <v>31</v>
      </c>
      <c r="B134" s="67" t="s">
        <v>351</v>
      </c>
      <c r="C134" s="67"/>
      <c r="D134" s="67"/>
      <c r="E134" s="67" t="s">
        <v>352</v>
      </c>
      <c r="F134" s="67" t="s">
        <v>353</v>
      </c>
      <c r="G134" s="83" t="s">
        <v>843</v>
      </c>
    </row>
    <row r="135" spans="1:8" hidden="1" x14ac:dyDescent="0.25">
      <c r="A135" s="67">
        <v>793942</v>
      </c>
      <c r="B135" s="67" t="s">
        <v>257</v>
      </c>
      <c r="C135" s="67"/>
      <c r="D135" s="67"/>
      <c r="E135" s="67"/>
      <c r="F135" s="67"/>
      <c r="G135" s="67" t="s">
        <v>931</v>
      </c>
    </row>
    <row r="136" spans="1:8" hidden="1" x14ac:dyDescent="0.25">
      <c r="A136" s="67">
        <v>793943</v>
      </c>
      <c r="B136" s="67" t="s">
        <v>258</v>
      </c>
      <c r="C136" s="67"/>
      <c r="D136" s="67"/>
      <c r="E136" s="67"/>
      <c r="F136" s="67"/>
      <c r="G136" s="67" t="s">
        <v>932</v>
      </c>
    </row>
    <row r="137" spans="1:8" hidden="1" x14ac:dyDescent="0.25">
      <c r="A137" s="67">
        <v>793944</v>
      </c>
      <c r="B137" s="67" t="s">
        <v>259</v>
      </c>
      <c r="C137" s="67"/>
      <c r="D137" s="67"/>
      <c r="E137" s="67"/>
      <c r="F137" s="67"/>
      <c r="G137" s="67" t="s">
        <v>933</v>
      </c>
    </row>
    <row r="138" spans="1:8" hidden="1" x14ac:dyDescent="0.25">
      <c r="A138" s="67">
        <v>793975</v>
      </c>
      <c r="B138" s="67" t="s">
        <v>260</v>
      </c>
      <c r="C138" s="67"/>
      <c r="D138" s="67"/>
      <c r="E138" s="67"/>
      <c r="F138" s="67"/>
      <c r="G138" s="67" t="s">
        <v>934</v>
      </c>
    </row>
    <row r="139" spans="1:8" hidden="1" x14ac:dyDescent="0.25">
      <c r="A139" s="67">
        <v>793977</v>
      </c>
      <c r="B139" s="67" t="s">
        <v>261</v>
      </c>
      <c r="C139" s="67"/>
      <c r="D139" s="67"/>
      <c r="E139" s="67"/>
      <c r="F139" s="67"/>
      <c r="G139" s="67" t="s">
        <v>935</v>
      </c>
    </row>
    <row r="140" spans="1:8" hidden="1" x14ac:dyDescent="0.25">
      <c r="A140" s="67">
        <v>793978</v>
      </c>
      <c r="B140" s="67" t="s">
        <v>262</v>
      </c>
      <c r="C140" s="67"/>
      <c r="D140" s="67"/>
      <c r="E140" s="67"/>
      <c r="F140" s="67"/>
      <c r="G140" s="67" t="s">
        <v>936</v>
      </c>
    </row>
    <row r="141" spans="1:8" hidden="1" x14ac:dyDescent="0.25">
      <c r="A141" s="67">
        <v>793980</v>
      </c>
      <c r="B141" s="67" t="s">
        <v>263</v>
      </c>
      <c r="C141" s="67"/>
      <c r="D141" s="67"/>
      <c r="E141" s="67"/>
      <c r="F141" s="67"/>
      <c r="G141" s="67" t="s">
        <v>937</v>
      </c>
    </row>
    <row r="142" spans="1:8" hidden="1" x14ac:dyDescent="0.25">
      <c r="A142" s="67"/>
      <c r="B142" s="67"/>
      <c r="C142" s="67"/>
      <c r="D142" s="67"/>
      <c r="E142" s="67"/>
      <c r="F142" s="67"/>
      <c r="G142" s="67"/>
    </row>
    <row r="143" spans="1:8" hidden="1" x14ac:dyDescent="0.25">
      <c r="A143" s="67">
        <v>798285</v>
      </c>
      <c r="B143" s="67" t="s">
        <v>264</v>
      </c>
      <c r="C143" s="67"/>
      <c r="D143" s="67"/>
      <c r="E143" s="67"/>
      <c r="F143" s="67"/>
      <c r="G143" s="67" t="s">
        <v>938</v>
      </c>
    </row>
    <row r="144" spans="1:8" hidden="1" x14ac:dyDescent="0.25">
      <c r="A144" s="67">
        <v>798286</v>
      </c>
      <c r="B144" s="67" t="s">
        <v>265</v>
      </c>
      <c r="C144" s="67"/>
      <c r="D144" s="67"/>
      <c r="E144" s="67"/>
      <c r="F144" s="67"/>
      <c r="G144" s="67" t="s">
        <v>939</v>
      </c>
    </row>
    <row r="145" spans="1:7" hidden="1" x14ac:dyDescent="0.25">
      <c r="A145" s="67"/>
      <c r="B145" s="67"/>
      <c r="C145" s="67"/>
      <c r="D145" s="67"/>
      <c r="E145" s="67"/>
      <c r="F145" s="67"/>
      <c r="G145" s="67"/>
    </row>
    <row r="146" spans="1:7" hidden="1" x14ac:dyDescent="0.25">
      <c r="A146" s="67">
        <v>785912</v>
      </c>
      <c r="B146" s="67" t="s">
        <v>243</v>
      </c>
      <c r="C146" s="67"/>
      <c r="D146" s="67"/>
      <c r="E146" s="67" t="s">
        <v>363</v>
      </c>
      <c r="F146" s="67" t="s">
        <v>364</v>
      </c>
      <c r="G146" s="67" t="s">
        <v>940</v>
      </c>
    </row>
    <row r="147" spans="1:7" hidden="1" x14ac:dyDescent="0.25">
      <c r="A147" s="67">
        <v>785913</v>
      </c>
      <c r="B147" s="67" t="s">
        <v>244</v>
      </c>
      <c r="C147" s="67"/>
      <c r="D147" s="67"/>
      <c r="E147" s="67" t="s">
        <v>365</v>
      </c>
      <c r="F147" s="67" t="s">
        <v>366</v>
      </c>
      <c r="G147" s="67" t="s">
        <v>941</v>
      </c>
    </row>
    <row r="148" spans="1:7" hidden="1" x14ac:dyDescent="0.25">
      <c r="A148" s="67">
        <v>785914</v>
      </c>
      <c r="B148" s="67" t="s">
        <v>245</v>
      </c>
      <c r="C148" s="67"/>
      <c r="D148" s="67"/>
      <c r="E148" s="67" t="s">
        <v>367</v>
      </c>
      <c r="F148" s="67" t="s">
        <v>368</v>
      </c>
      <c r="G148" s="67" t="s">
        <v>942</v>
      </c>
    </row>
    <row r="149" spans="1:7" hidden="1" x14ac:dyDescent="0.25">
      <c r="A149" s="67">
        <v>785915</v>
      </c>
      <c r="B149" s="67" t="s">
        <v>246</v>
      </c>
      <c r="C149" s="67"/>
      <c r="D149" s="67"/>
      <c r="E149" s="67" t="s">
        <v>369</v>
      </c>
      <c r="F149" s="67" t="s">
        <v>370</v>
      </c>
      <c r="G149" s="67" t="s">
        <v>943</v>
      </c>
    </row>
    <row r="150" spans="1:7" hidden="1" x14ac:dyDescent="0.25">
      <c r="A150" s="67">
        <v>785917</v>
      </c>
      <c r="B150" s="67" t="s">
        <v>247</v>
      </c>
      <c r="C150" s="67"/>
      <c r="D150" s="67"/>
      <c r="E150" s="67" t="s">
        <v>371</v>
      </c>
      <c r="F150" s="67" t="s">
        <v>372</v>
      </c>
      <c r="G150" s="67" t="s">
        <v>944</v>
      </c>
    </row>
    <row r="151" spans="1:7" hidden="1" x14ac:dyDescent="0.25">
      <c r="A151" s="67">
        <v>785918</v>
      </c>
      <c r="B151" s="67" t="s">
        <v>248</v>
      </c>
      <c r="C151" s="67"/>
      <c r="D151" s="67"/>
      <c r="E151" s="67" t="s">
        <v>373</v>
      </c>
      <c r="F151" s="67" t="s">
        <v>374</v>
      </c>
      <c r="G151" s="67" t="s">
        <v>945</v>
      </c>
    </row>
    <row r="152" spans="1:7" hidden="1" x14ac:dyDescent="0.25">
      <c r="A152" s="67">
        <v>785920</v>
      </c>
      <c r="B152" s="67" t="s">
        <v>249</v>
      </c>
      <c r="C152" s="67"/>
      <c r="D152" s="67"/>
      <c r="E152" s="67" t="s">
        <v>375</v>
      </c>
      <c r="F152" s="67" t="s">
        <v>376</v>
      </c>
      <c r="G152" s="67" t="s">
        <v>946</v>
      </c>
    </row>
    <row r="153" spans="1:7" hidden="1" x14ac:dyDescent="0.25">
      <c r="A153" s="67"/>
      <c r="B153" s="67"/>
      <c r="C153" s="67"/>
      <c r="D153" s="67"/>
      <c r="E153" s="67"/>
      <c r="F153" s="67"/>
      <c r="G153" s="67"/>
    </row>
    <row r="154" spans="1:7" hidden="1" x14ac:dyDescent="0.25">
      <c r="A154" s="67">
        <v>798287</v>
      </c>
      <c r="B154" s="67" t="s">
        <v>266</v>
      </c>
      <c r="C154" s="67"/>
      <c r="D154" s="67"/>
      <c r="E154" s="67"/>
      <c r="F154" s="67"/>
      <c r="G154" s="67" t="s">
        <v>947</v>
      </c>
    </row>
    <row r="155" spans="1:7" hidden="1" x14ac:dyDescent="0.25">
      <c r="A155" s="67">
        <v>798288</v>
      </c>
      <c r="B155" s="67" t="s">
        <v>267</v>
      </c>
      <c r="C155" s="67"/>
      <c r="D155" s="67"/>
      <c r="E155" s="67"/>
      <c r="F155" s="67"/>
      <c r="G155" s="67" t="s">
        <v>948</v>
      </c>
    </row>
    <row r="156" spans="1:7" hidden="1" x14ac:dyDescent="0.25">
      <c r="A156" s="67"/>
      <c r="B156" s="67"/>
      <c r="C156" s="67"/>
      <c r="D156" s="67"/>
      <c r="E156" s="67"/>
      <c r="F156" s="67"/>
      <c r="G156" s="67"/>
    </row>
    <row r="157" spans="1:7" hidden="1" x14ac:dyDescent="0.25">
      <c r="A157" s="67">
        <v>792143</v>
      </c>
      <c r="B157" s="67" t="s">
        <v>250</v>
      </c>
      <c r="C157" s="67"/>
      <c r="D157" s="67"/>
      <c r="E157" s="67" t="s">
        <v>377</v>
      </c>
      <c r="F157" s="67" t="s">
        <v>378</v>
      </c>
      <c r="G157" s="67" t="s">
        <v>949</v>
      </c>
    </row>
    <row r="158" spans="1:7" hidden="1" x14ac:dyDescent="0.25">
      <c r="A158" s="67">
        <v>792144</v>
      </c>
      <c r="B158" s="67" t="s">
        <v>251</v>
      </c>
      <c r="C158" s="67"/>
      <c r="D158" s="67"/>
      <c r="E158" s="67" t="s">
        <v>379</v>
      </c>
      <c r="F158" s="67" t="s">
        <v>380</v>
      </c>
      <c r="G158" s="67" t="s">
        <v>950</v>
      </c>
    </row>
    <row r="159" spans="1:7" hidden="1" x14ac:dyDescent="0.25">
      <c r="A159" s="67">
        <v>792185</v>
      </c>
      <c r="B159" s="67" t="s">
        <v>252</v>
      </c>
      <c r="C159" s="67"/>
      <c r="D159" s="67"/>
      <c r="E159" s="67" t="s">
        <v>381</v>
      </c>
      <c r="F159" s="67" t="s">
        <v>382</v>
      </c>
      <c r="G159" s="67" t="s">
        <v>951</v>
      </c>
    </row>
    <row r="160" spans="1:7" hidden="1" x14ac:dyDescent="0.25">
      <c r="A160" s="67">
        <v>792188</v>
      </c>
      <c r="B160" s="67" t="s">
        <v>253</v>
      </c>
      <c r="C160" s="67"/>
      <c r="D160" s="67"/>
      <c r="E160" s="67" t="s">
        <v>383</v>
      </c>
      <c r="F160" s="67" t="s">
        <v>384</v>
      </c>
      <c r="G160" s="67" t="s">
        <v>952</v>
      </c>
    </row>
    <row r="161" spans="1:7" hidden="1" x14ac:dyDescent="0.25">
      <c r="A161" s="67">
        <v>792190</v>
      </c>
      <c r="B161" s="67" t="s">
        <v>254</v>
      </c>
      <c r="C161" s="67"/>
      <c r="D161" s="67"/>
      <c r="E161" s="67" t="s">
        <v>385</v>
      </c>
      <c r="F161" s="67" t="s">
        <v>386</v>
      </c>
      <c r="G161" s="67" t="s">
        <v>953</v>
      </c>
    </row>
    <row r="162" spans="1:7" hidden="1" x14ac:dyDescent="0.25">
      <c r="A162" s="67">
        <v>792190</v>
      </c>
      <c r="B162" s="67" t="s">
        <v>254</v>
      </c>
      <c r="C162" s="67"/>
      <c r="D162" s="67"/>
      <c r="E162" s="67" t="s">
        <v>385</v>
      </c>
      <c r="F162" s="67" t="s">
        <v>386</v>
      </c>
      <c r="G162" s="67" t="s">
        <v>953</v>
      </c>
    </row>
    <row r="163" spans="1:7" hidden="1" x14ac:dyDescent="0.25">
      <c r="A163" s="67">
        <v>792191</v>
      </c>
      <c r="B163" s="67" t="s">
        <v>255</v>
      </c>
      <c r="C163" s="67"/>
      <c r="D163" s="67"/>
      <c r="E163" s="67" t="s">
        <v>387</v>
      </c>
      <c r="F163" s="67" t="s">
        <v>388</v>
      </c>
      <c r="G163" s="67" t="s">
        <v>954</v>
      </c>
    </row>
    <row r="164" spans="1:7" hidden="1" x14ac:dyDescent="0.25">
      <c r="A164" s="67">
        <v>792193</v>
      </c>
      <c r="B164" s="67" t="s">
        <v>256</v>
      </c>
      <c r="C164" s="67"/>
      <c r="D164" s="67"/>
      <c r="E164" s="67" t="s">
        <v>389</v>
      </c>
      <c r="F164" s="67" t="s">
        <v>390</v>
      </c>
      <c r="G164" s="67" t="s">
        <v>955</v>
      </c>
    </row>
    <row r="165" spans="1:7" hidden="1" x14ac:dyDescent="0.25">
      <c r="A165" s="67"/>
      <c r="B165" s="67"/>
      <c r="C165" s="67"/>
      <c r="D165" s="67"/>
      <c r="E165" s="67"/>
      <c r="F165" s="67"/>
      <c r="G165" s="67"/>
    </row>
    <row r="166" spans="1:7" hidden="1" x14ac:dyDescent="0.25">
      <c r="A166" s="67">
        <v>795603</v>
      </c>
      <c r="B166" s="67" t="s">
        <v>268</v>
      </c>
      <c r="C166" s="67"/>
      <c r="D166" s="67"/>
      <c r="E166" s="67"/>
      <c r="F166" s="67">
        <v>2</v>
      </c>
      <c r="G166" s="67" t="s">
        <v>956</v>
      </c>
    </row>
    <row r="167" spans="1:7" hidden="1" x14ac:dyDescent="0.25">
      <c r="A167" s="67">
        <v>795604</v>
      </c>
      <c r="B167" s="67" t="s">
        <v>269</v>
      </c>
      <c r="C167" s="67"/>
      <c r="D167" s="67"/>
      <c r="E167" s="67"/>
      <c r="F167" s="67"/>
      <c r="G167" s="67" t="s">
        <v>957</v>
      </c>
    </row>
    <row r="168" spans="1:7" hidden="1" x14ac:dyDescent="0.25">
      <c r="A168" s="67"/>
      <c r="B168" s="67"/>
      <c r="C168" s="67"/>
      <c r="D168" s="67"/>
      <c r="E168" s="67"/>
      <c r="F168" s="67"/>
      <c r="G168" s="67"/>
    </row>
    <row r="169" spans="1:7" hidden="1" x14ac:dyDescent="0.25">
      <c r="A169" s="67"/>
      <c r="B169" s="67"/>
      <c r="C169" s="67"/>
      <c r="D169" s="67"/>
      <c r="E169" s="67"/>
      <c r="F169" s="67"/>
      <c r="G169" s="67"/>
    </row>
    <row r="170" spans="1:7" hidden="1" x14ac:dyDescent="0.25">
      <c r="A170" s="67">
        <v>799045</v>
      </c>
      <c r="B170" s="67" t="s">
        <v>210</v>
      </c>
      <c r="C170" s="67"/>
      <c r="D170" s="67" t="s">
        <v>209</v>
      </c>
      <c r="E170" s="67" t="s">
        <v>391</v>
      </c>
      <c r="F170" s="67" t="s">
        <v>392</v>
      </c>
      <c r="G170" s="67" t="s">
        <v>958</v>
      </c>
    </row>
    <row r="171" spans="1:7" hidden="1" x14ac:dyDescent="0.25">
      <c r="A171" s="67">
        <v>798027</v>
      </c>
      <c r="B171" s="67" t="s">
        <v>211</v>
      </c>
      <c r="C171" s="67"/>
      <c r="D171" s="67" t="s">
        <v>209</v>
      </c>
      <c r="E171" s="67" t="s">
        <v>393</v>
      </c>
      <c r="F171" s="67" t="s">
        <v>394</v>
      </c>
      <c r="G171" s="67" t="s">
        <v>959</v>
      </c>
    </row>
    <row r="172" spans="1:7" hidden="1" x14ac:dyDescent="0.25">
      <c r="A172" s="67">
        <v>798028</v>
      </c>
      <c r="B172" s="67" t="s">
        <v>212</v>
      </c>
      <c r="C172" s="67"/>
      <c r="D172" s="67" t="s">
        <v>209</v>
      </c>
      <c r="E172" s="67" t="s">
        <v>395</v>
      </c>
      <c r="F172" s="67" t="s">
        <v>396</v>
      </c>
      <c r="G172" s="67" t="s">
        <v>960</v>
      </c>
    </row>
    <row r="173" spans="1:7" hidden="1" x14ac:dyDescent="0.25">
      <c r="A173" s="67">
        <v>798030</v>
      </c>
      <c r="B173" s="67" t="s">
        <v>213</v>
      </c>
      <c r="C173" s="67"/>
      <c r="D173" s="67" t="s">
        <v>209</v>
      </c>
      <c r="E173" s="67" t="s">
        <v>397</v>
      </c>
      <c r="F173" s="67" t="s">
        <v>398</v>
      </c>
      <c r="G173" s="67" t="s">
        <v>961</v>
      </c>
    </row>
    <row r="174" spans="1:7" hidden="1" x14ac:dyDescent="0.25">
      <c r="A174" s="67">
        <v>798031</v>
      </c>
      <c r="B174" s="67" t="s">
        <v>214</v>
      </c>
      <c r="C174" s="67"/>
      <c r="D174" s="67" t="s">
        <v>209</v>
      </c>
      <c r="E174" s="67" t="s">
        <v>399</v>
      </c>
      <c r="F174" s="67" t="s">
        <v>400</v>
      </c>
      <c r="G174" s="67" t="s">
        <v>962</v>
      </c>
    </row>
    <row r="175" spans="1:7" hidden="1" x14ac:dyDescent="0.25">
      <c r="A175" s="67">
        <v>798032</v>
      </c>
      <c r="B175" s="67" t="s">
        <v>215</v>
      </c>
      <c r="C175" s="67"/>
      <c r="D175" s="67" t="s">
        <v>209</v>
      </c>
      <c r="E175" s="67" t="s">
        <v>401</v>
      </c>
      <c r="F175" s="67" t="s">
        <v>402</v>
      </c>
      <c r="G175" s="67" t="s">
        <v>963</v>
      </c>
    </row>
    <row r="176" spans="1:7" hidden="1" x14ac:dyDescent="0.25">
      <c r="A176" s="67">
        <v>798033</v>
      </c>
      <c r="B176" s="67" t="s">
        <v>216</v>
      </c>
      <c r="C176" s="67"/>
      <c r="D176" s="67" t="s">
        <v>209</v>
      </c>
      <c r="E176" s="67" t="s">
        <v>403</v>
      </c>
      <c r="F176" s="67" t="s">
        <v>404</v>
      </c>
      <c r="G176" s="67" t="s">
        <v>964</v>
      </c>
    </row>
    <row r="177" spans="1:7" hidden="1" x14ac:dyDescent="0.25">
      <c r="A177" s="67"/>
      <c r="B177" s="67"/>
      <c r="C177" s="67"/>
      <c r="D177" s="67"/>
      <c r="E177" s="67"/>
      <c r="F177" s="67"/>
      <c r="G177" s="67"/>
    </row>
    <row r="178" spans="1:7" hidden="1" x14ac:dyDescent="0.25">
      <c r="A178" s="67">
        <v>798034</v>
      </c>
      <c r="B178" s="67" t="s">
        <v>217</v>
      </c>
      <c r="C178" s="67"/>
      <c r="D178" s="67" t="s">
        <v>209</v>
      </c>
      <c r="E178" s="67" t="s">
        <v>405</v>
      </c>
      <c r="F178" s="67" t="s">
        <v>406</v>
      </c>
      <c r="G178" s="67" t="s">
        <v>965</v>
      </c>
    </row>
    <row r="179" spans="1:7" hidden="1" x14ac:dyDescent="0.25">
      <c r="A179" s="67">
        <v>798055</v>
      </c>
      <c r="B179" s="67" t="s">
        <v>218</v>
      </c>
      <c r="C179" s="67"/>
      <c r="D179" s="67" t="s">
        <v>209</v>
      </c>
      <c r="E179" s="67" t="s">
        <v>407</v>
      </c>
      <c r="F179" s="67" t="s">
        <v>408</v>
      </c>
      <c r="G179" s="67" t="s">
        <v>966</v>
      </c>
    </row>
    <row r="180" spans="1:7" hidden="1" x14ac:dyDescent="0.25">
      <c r="A180" s="67"/>
      <c r="B180" s="67"/>
      <c r="C180" s="67"/>
      <c r="D180" s="67"/>
      <c r="E180" s="67"/>
      <c r="F180" s="67"/>
      <c r="G180" s="67"/>
    </row>
    <row r="181" spans="1:7" hidden="1" x14ac:dyDescent="0.25">
      <c r="A181" s="67">
        <v>785921</v>
      </c>
      <c r="B181" s="67" t="s">
        <v>7</v>
      </c>
      <c r="C181" s="67"/>
      <c r="D181" s="67" t="s">
        <v>219</v>
      </c>
      <c r="E181" s="67" t="s">
        <v>409</v>
      </c>
      <c r="F181" s="67" t="s">
        <v>410</v>
      </c>
      <c r="G181" s="67" t="s">
        <v>967</v>
      </c>
    </row>
    <row r="182" spans="1:7" hidden="1" x14ac:dyDescent="0.25">
      <c r="A182" s="67">
        <v>785922</v>
      </c>
      <c r="B182" s="67" t="s">
        <v>8</v>
      </c>
      <c r="C182" s="67"/>
      <c r="D182" s="67" t="s">
        <v>219</v>
      </c>
      <c r="E182" s="67" t="s">
        <v>411</v>
      </c>
      <c r="F182" s="67" t="s">
        <v>412</v>
      </c>
      <c r="G182" s="67" t="s">
        <v>968</v>
      </c>
    </row>
    <row r="183" spans="1:7" hidden="1" x14ac:dyDescent="0.25">
      <c r="A183" s="67">
        <v>785923</v>
      </c>
      <c r="B183" s="67" t="s">
        <v>9</v>
      </c>
      <c r="C183" s="67"/>
      <c r="D183" s="67" t="s">
        <v>219</v>
      </c>
      <c r="E183" s="67" t="s">
        <v>413</v>
      </c>
      <c r="F183" s="67" t="s">
        <v>414</v>
      </c>
      <c r="G183" s="67" t="s">
        <v>969</v>
      </c>
    </row>
    <row r="184" spans="1:7" hidden="1" x14ac:dyDescent="0.25">
      <c r="A184" s="67">
        <v>785924</v>
      </c>
      <c r="B184" s="67" t="s">
        <v>10</v>
      </c>
      <c r="C184" s="67"/>
      <c r="D184" s="67" t="s">
        <v>219</v>
      </c>
      <c r="E184" s="67" t="s">
        <v>415</v>
      </c>
      <c r="F184" s="67" t="s">
        <v>416</v>
      </c>
      <c r="G184" s="67" t="s">
        <v>970</v>
      </c>
    </row>
    <row r="185" spans="1:7" hidden="1" x14ac:dyDescent="0.25">
      <c r="A185" s="67">
        <v>785926</v>
      </c>
      <c r="B185" s="67" t="s">
        <v>11</v>
      </c>
      <c r="C185" s="67"/>
      <c r="D185" s="67" t="s">
        <v>219</v>
      </c>
      <c r="E185" s="67" t="s">
        <v>417</v>
      </c>
      <c r="F185" s="67" t="s">
        <v>418</v>
      </c>
      <c r="G185" s="67" t="s">
        <v>971</v>
      </c>
    </row>
    <row r="186" spans="1:7" hidden="1" x14ac:dyDescent="0.25">
      <c r="A186" s="67">
        <v>785927</v>
      </c>
      <c r="B186" s="67" t="s">
        <v>12</v>
      </c>
      <c r="C186" s="67"/>
      <c r="D186" s="67" t="s">
        <v>219</v>
      </c>
      <c r="E186" s="67" t="s">
        <v>419</v>
      </c>
      <c r="F186" s="67" t="s">
        <v>420</v>
      </c>
      <c r="G186" s="67" t="s">
        <v>972</v>
      </c>
    </row>
    <row r="187" spans="1:7" hidden="1" x14ac:dyDescent="0.25">
      <c r="A187" s="67">
        <v>785929</v>
      </c>
      <c r="B187" s="67" t="s">
        <v>13</v>
      </c>
      <c r="C187" s="67"/>
      <c r="D187" s="67" t="s">
        <v>219</v>
      </c>
      <c r="E187" s="67" t="s">
        <v>421</v>
      </c>
      <c r="F187" s="67" t="s">
        <v>422</v>
      </c>
      <c r="G187" s="67" t="s">
        <v>973</v>
      </c>
    </row>
    <row r="188" spans="1:7" hidden="1" x14ac:dyDescent="0.25">
      <c r="A188" s="67"/>
      <c r="B188" s="67"/>
      <c r="C188" s="67"/>
      <c r="D188" s="67"/>
      <c r="E188" s="67"/>
      <c r="F188" s="67"/>
      <c r="G188" s="67"/>
    </row>
    <row r="189" spans="1:7" hidden="1" x14ac:dyDescent="0.25">
      <c r="A189" s="67">
        <v>798218</v>
      </c>
      <c r="B189" s="67" t="s">
        <v>14</v>
      </c>
      <c r="C189" s="67"/>
      <c r="D189" s="67" t="s">
        <v>219</v>
      </c>
      <c r="E189" s="67" t="s">
        <v>423</v>
      </c>
      <c r="F189" s="67" t="s">
        <v>424</v>
      </c>
      <c r="G189" s="67" t="s">
        <v>974</v>
      </c>
    </row>
    <row r="190" spans="1:7" hidden="1" x14ac:dyDescent="0.25">
      <c r="A190" s="67">
        <v>798219</v>
      </c>
      <c r="B190" s="67" t="s">
        <v>15</v>
      </c>
      <c r="C190" s="67"/>
      <c r="D190" s="67" t="s">
        <v>219</v>
      </c>
      <c r="E190" s="67" t="s">
        <v>425</v>
      </c>
      <c r="F190" s="67" t="s">
        <v>426</v>
      </c>
      <c r="G190" s="67" t="s">
        <v>975</v>
      </c>
    </row>
    <row r="191" spans="1:7" hidden="1" x14ac:dyDescent="0.25">
      <c r="A191" s="67"/>
      <c r="B191" s="67"/>
      <c r="C191" s="67"/>
      <c r="D191" s="67"/>
      <c r="E191" s="67"/>
      <c r="F191" s="67"/>
      <c r="G191" s="67"/>
    </row>
    <row r="192" spans="1:7" hidden="1" x14ac:dyDescent="0.25">
      <c r="A192" s="67">
        <v>308267</v>
      </c>
      <c r="B192" s="67" t="s">
        <v>22</v>
      </c>
      <c r="C192" s="67"/>
      <c r="D192" s="67"/>
      <c r="E192" s="67" t="s">
        <v>427</v>
      </c>
      <c r="F192" s="67" t="s">
        <v>428</v>
      </c>
      <c r="G192" s="67" t="s">
        <v>976</v>
      </c>
    </row>
    <row r="193" spans="1:7" hidden="1" x14ac:dyDescent="0.25">
      <c r="A193" s="67">
        <v>297858</v>
      </c>
      <c r="B193" s="67" t="s">
        <v>23</v>
      </c>
      <c r="C193" s="67"/>
      <c r="D193" s="67"/>
      <c r="E193" s="67" t="s">
        <v>429</v>
      </c>
      <c r="F193" s="67" t="s">
        <v>430</v>
      </c>
      <c r="G193" s="67" t="s">
        <v>977</v>
      </c>
    </row>
    <row r="194" spans="1:7" hidden="1" x14ac:dyDescent="0.25">
      <c r="A194" s="67">
        <v>308267</v>
      </c>
      <c r="B194" s="67" t="s">
        <v>22</v>
      </c>
      <c r="C194" s="67"/>
      <c r="D194" s="67"/>
      <c r="E194" s="67" t="s">
        <v>427</v>
      </c>
      <c r="F194" s="67" t="s">
        <v>428</v>
      </c>
      <c r="G194" s="67" t="s">
        <v>976</v>
      </c>
    </row>
    <row r="195" spans="1:7" hidden="1" x14ac:dyDescent="0.25">
      <c r="A195" s="67"/>
      <c r="B195" s="67"/>
      <c r="C195" s="67"/>
      <c r="D195" s="67"/>
      <c r="E195" s="67"/>
      <c r="F195" s="67"/>
      <c r="G195" s="67"/>
    </row>
    <row r="196" spans="1:7" hidden="1" x14ac:dyDescent="0.25">
      <c r="A196" s="67">
        <v>572665</v>
      </c>
      <c r="B196" s="67" t="s">
        <v>16</v>
      </c>
      <c r="C196" s="67"/>
      <c r="D196" s="67"/>
      <c r="E196" s="67" t="s">
        <v>431</v>
      </c>
      <c r="F196" s="67" t="s">
        <v>432</v>
      </c>
      <c r="G196" s="67" t="s">
        <v>978</v>
      </c>
    </row>
    <row r="197" spans="1:7" hidden="1" x14ac:dyDescent="0.25">
      <c r="A197" s="67">
        <v>245729</v>
      </c>
      <c r="B197" s="67" t="s">
        <v>41</v>
      </c>
      <c r="C197" s="67"/>
      <c r="D197" s="67"/>
      <c r="E197" s="67" t="s">
        <v>433</v>
      </c>
      <c r="F197" s="67" t="s">
        <v>434</v>
      </c>
      <c r="G197" s="67" t="s">
        <v>979</v>
      </c>
    </row>
    <row r="198" spans="1:7" hidden="1" x14ac:dyDescent="0.25">
      <c r="A198" s="67">
        <v>603442</v>
      </c>
      <c r="B198" s="67" t="s">
        <v>17</v>
      </c>
      <c r="C198" s="67"/>
      <c r="D198" s="67"/>
      <c r="E198" s="67" t="s">
        <v>435</v>
      </c>
      <c r="F198" s="67" t="s">
        <v>436</v>
      </c>
      <c r="G198" s="67" t="s">
        <v>980</v>
      </c>
    </row>
    <row r="199" spans="1:7" hidden="1" x14ac:dyDescent="0.25">
      <c r="A199" s="67">
        <v>603444</v>
      </c>
      <c r="B199" s="67" t="s">
        <v>18</v>
      </c>
      <c r="C199" s="67"/>
      <c r="D199" s="67"/>
      <c r="E199" s="67" t="s">
        <v>437</v>
      </c>
      <c r="F199" s="67" t="s">
        <v>438</v>
      </c>
      <c r="G199" s="67" t="s">
        <v>981</v>
      </c>
    </row>
    <row r="200" spans="1:7" hidden="1" x14ac:dyDescent="0.25">
      <c r="A200" s="67">
        <v>603447</v>
      </c>
      <c r="B200" s="67" t="s">
        <v>19</v>
      </c>
      <c r="C200" s="67"/>
      <c r="D200" s="67"/>
      <c r="E200" s="67" t="s">
        <v>439</v>
      </c>
      <c r="F200" s="67" t="s">
        <v>440</v>
      </c>
      <c r="G200" s="67" t="s">
        <v>982</v>
      </c>
    </row>
    <row r="201" spans="1:7" hidden="1" x14ac:dyDescent="0.25">
      <c r="A201" s="67">
        <v>603462</v>
      </c>
      <c r="B201" s="67" t="s">
        <v>20</v>
      </c>
      <c r="C201" s="67"/>
      <c r="D201" s="67"/>
      <c r="E201" s="67" t="s">
        <v>441</v>
      </c>
      <c r="F201" s="67" t="s">
        <v>442</v>
      </c>
      <c r="G201" s="67" t="s">
        <v>983</v>
      </c>
    </row>
    <row r="202" spans="1:7" hidden="1" x14ac:dyDescent="0.25">
      <c r="A202" s="67"/>
      <c r="B202" s="67"/>
      <c r="C202" s="67"/>
      <c r="D202" s="67"/>
      <c r="E202" s="67"/>
      <c r="F202" s="67"/>
      <c r="G202" s="67"/>
    </row>
    <row r="203" spans="1:7" hidden="1" x14ac:dyDescent="0.25">
      <c r="A203" s="67">
        <v>255281</v>
      </c>
      <c r="B203" s="67" t="s">
        <v>42</v>
      </c>
      <c r="C203" s="67"/>
      <c r="D203" s="67"/>
      <c r="E203" s="67" t="s">
        <v>443</v>
      </c>
      <c r="F203" s="67" t="s">
        <v>444</v>
      </c>
      <c r="G203" s="67" t="s">
        <v>984</v>
      </c>
    </row>
    <row r="204" spans="1:7" hidden="1" x14ac:dyDescent="0.25">
      <c r="A204" s="67">
        <v>308267</v>
      </c>
      <c r="B204" s="67" t="s">
        <v>22</v>
      </c>
      <c r="C204" s="67"/>
      <c r="D204" s="67"/>
      <c r="E204" s="67" t="s">
        <v>427</v>
      </c>
      <c r="F204" s="67" t="s">
        <v>428</v>
      </c>
      <c r="G204" s="67" t="s">
        <v>976</v>
      </c>
    </row>
    <row r="205" spans="1:7" hidden="1" x14ac:dyDescent="0.25">
      <c r="A205" s="67">
        <v>297858</v>
      </c>
      <c r="B205" s="67" t="s">
        <v>23</v>
      </c>
      <c r="C205" s="67"/>
      <c r="D205" s="67"/>
      <c r="E205" s="67" t="s">
        <v>429</v>
      </c>
      <c r="F205" s="67" t="s">
        <v>430</v>
      </c>
      <c r="G205" s="67" t="s">
        <v>977</v>
      </c>
    </row>
    <row r="206" spans="1:7" hidden="1" x14ac:dyDescent="0.25">
      <c r="A206" s="67">
        <v>450821</v>
      </c>
      <c r="B206" s="67" t="s">
        <v>24</v>
      </c>
      <c r="C206" s="67"/>
      <c r="D206" s="67"/>
      <c r="E206" s="67" t="s">
        <v>445</v>
      </c>
      <c r="F206" s="67" t="s">
        <v>446</v>
      </c>
      <c r="G206" s="67" t="s">
        <v>985</v>
      </c>
    </row>
    <row r="207" spans="1:7" hidden="1" x14ac:dyDescent="0.25">
      <c r="A207" s="67">
        <v>255282</v>
      </c>
      <c r="B207" s="67" t="s">
        <v>21</v>
      </c>
      <c r="C207" s="67"/>
      <c r="D207" s="67"/>
      <c r="E207" s="67" t="s">
        <v>447</v>
      </c>
      <c r="F207" s="67" t="s">
        <v>448</v>
      </c>
      <c r="G207" s="67" t="s">
        <v>986</v>
      </c>
    </row>
    <row r="208" spans="1:7" s="98" customFormat="1" hidden="1" x14ac:dyDescent="0.25">
      <c r="A208" s="67">
        <v>255280</v>
      </c>
      <c r="B208" s="67" t="s">
        <v>1442</v>
      </c>
      <c r="C208" s="67"/>
      <c r="D208" s="67"/>
      <c r="E208" s="67" t="s">
        <v>1444</v>
      </c>
      <c r="F208" s="67" t="s">
        <v>1446</v>
      </c>
      <c r="G208" s="67" t="s">
        <v>1448</v>
      </c>
    </row>
    <row r="209" spans="1:7" s="98" customFormat="1" hidden="1" x14ac:dyDescent="0.25">
      <c r="A209" s="67">
        <v>280346</v>
      </c>
      <c r="B209" s="67" t="s">
        <v>1443</v>
      </c>
      <c r="C209" s="67"/>
      <c r="D209" s="67"/>
      <c r="E209" s="67" t="s">
        <v>1445</v>
      </c>
      <c r="F209" s="67" t="s">
        <v>1447</v>
      </c>
      <c r="G209" s="67" t="s">
        <v>1449</v>
      </c>
    </row>
    <row r="210" spans="1:7" s="98" customFormat="1" hidden="1" x14ac:dyDescent="0.25">
      <c r="A210" s="67"/>
      <c r="B210" s="67"/>
      <c r="C210" s="67"/>
      <c r="D210" s="67"/>
      <c r="E210" s="67"/>
      <c r="F210" s="67"/>
      <c r="G210" s="67"/>
    </row>
    <row r="211" spans="1:7" hidden="1" x14ac:dyDescent="0.25">
      <c r="A211" s="67"/>
      <c r="B211" s="67"/>
      <c r="C211" s="67"/>
      <c r="D211" s="67"/>
      <c r="E211" s="67"/>
      <c r="F211" s="67"/>
      <c r="G211" s="67"/>
    </row>
    <row r="212" spans="1:7" hidden="1" x14ac:dyDescent="0.25">
      <c r="A212" s="67">
        <v>260272</v>
      </c>
      <c r="B212" s="67" t="s">
        <v>25</v>
      </c>
      <c r="C212" s="67"/>
      <c r="D212" s="67"/>
      <c r="E212" s="67" t="s">
        <v>449</v>
      </c>
      <c r="F212" s="67" t="s">
        <v>450</v>
      </c>
      <c r="G212" s="67" t="s">
        <v>987</v>
      </c>
    </row>
    <row r="213" spans="1:7" hidden="1" x14ac:dyDescent="0.25">
      <c r="A213" s="67">
        <v>260275</v>
      </c>
      <c r="B213" s="67" t="s">
        <v>26</v>
      </c>
      <c r="C213" s="67"/>
      <c r="D213" s="67"/>
      <c r="E213" s="67" t="s">
        <v>451</v>
      </c>
      <c r="F213" s="67" t="s">
        <v>452</v>
      </c>
      <c r="G213" s="67" t="s">
        <v>988</v>
      </c>
    </row>
    <row r="214" spans="1:7" hidden="1" x14ac:dyDescent="0.25">
      <c r="A214" s="67"/>
      <c r="B214" s="67"/>
      <c r="C214" s="67"/>
      <c r="D214" s="67"/>
      <c r="E214" s="67"/>
      <c r="F214" s="67"/>
      <c r="G214" s="67"/>
    </row>
    <row r="215" spans="1:7" hidden="1" x14ac:dyDescent="0.25">
      <c r="A215" s="67">
        <v>762909</v>
      </c>
      <c r="B215" s="67" t="s">
        <v>29</v>
      </c>
      <c r="C215" s="67" t="s">
        <v>76</v>
      </c>
      <c r="D215" s="67"/>
      <c r="E215" s="67" t="s">
        <v>453</v>
      </c>
      <c r="F215" s="67" t="s">
        <v>454</v>
      </c>
      <c r="G215" s="67" t="s">
        <v>989</v>
      </c>
    </row>
    <row r="216" spans="1:7" hidden="1" x14ac:dyDescent="0.25">
      <c r="A216" s="67">
        <v>762910</v>
      </c>
      <c r="B216" s="67" t="s">
        <v>30</v>
      </c>
      <c r="C216" s="67" t="s">
        <v>76</v>
      </c>
      <c r="D216" s="67"/>
      <c r="E216" s="67" t="s">
        <v>455</v>
      </c>
      <c r="F216" s="67" t="s">
        <v>456</v>
      </c>
      <c r="G216" s="67" t="s">
        <v>990</v>
      </c>
    </row>
    <row r="217" spans="1:7" hidden="1" x14ac:dyDescent="0.25">
      <c r="A217" s="103">
        <v>797726</v>
      </c>
      <c r="B217" s="67" t="s">
        <v>281</v>
      </c>
      <c r="C217" s="103" t="s">
        <v>77</v>
      </c>
      <c r="D217" s="67"/>
      <c r="E217" s="67" t="s">
        <v>457</v>
      </c>
      <c r="F217" s="67" t="s">
        <v>458</v>
      </c>
      <c r="G217" s="67" t="s">
        <v>991</v>
      </c>
    </row>
    <row r="218" spans="1:7" hidden="1" x14ac:dyDescent="0.25">
      <c r="A218" s="103">
        <v>797727</v>
      </c>
      <c r="B218" s="67" t="s">
        <v>282</v>
      </c>
      <c r="C218" s="103" t="s">
        <v>77</v>
      </c>
      <c r="D218" s="67"/>
      <c r="E218" s="67" t="s">
        <v>459</v>
      </c>
      <c r="F218" s="67" t="s">
        <v>460</v>
      </c>
      <c r="G218" s="67" t="s">
        <v>992</v>
      </c>
    </row>
    <row r="219" spans="1:7" hidden="1" x14ac:dyDescent="0.25">
      <c r="A219" s="67"/>
      <c r="B219" s="67"/>
      <c r="C219" s="67"/>
      <c r="D219" s="67"/>
      <c r="E219" s="67"/>
      <c r="F219" s="67"/>
      <c r="G219" s="67"/>
    </row>
    <row r="220" spans="1:7" hidden="1" x14ac:dyDescent="0.25">
      <c r="A220" s="67">
        <v>762911</v>
      </c>
      <c r="B220" s="67" t="s">
        <v>33</v>
      </c>
      <c r="C220" s="67" t="s">
        <v>76</v>
      </c>
      <c r="D220" s="67"/>
      <c r="E220" s="67" t="s">
        <v>461</v>
      </c>
      <c r="F220" s="67" t="s">
        <v>462</v>
      </c>
      <c r="G220" s="67" t="s">
        <v>993</v>
      </c>
    </row>
    <row r="221" spans="1:7" hidden="1" x14ac:dyDescent="0.25">
      <c r="A221" s="67">
        <v>762912</v>
      </c>
      <c r="B221" s="67" t="s">
        <v>34</v>
      </c>
      <c r="C221" s="67" t="s">
        <v>76</v>
      </c>
      <c r="D221" s="67"/>
      <c r="E221" s="67" t="s">
        <v>463</v>
      </c>
      <c r="F221" s="67" t="s">
        <v>464</v>
      </c>
      <c r="G221" s="67" t="s">
        <v>994</v>
      </c>
    </row>
    <row r="222" spans="1:7" hidden="1" x14ac:dyDescent="0.25">
      <c r="A222" s="103">
        <v>797728</v>
      </c>
      <c r="B222" s="67" t="s">
        <v>283</v>
      </c>
      <c r="C222" s="103" t="s">
        <v>77</v>
      </c>
      <c r="D222" s="67"/>
      <c r="E222" s="67" t="s">
        <v>465</v>
      </c>
      <c r="F222" s="67" t="s">
        <v>466</v>
      </c>
      <c r="G222" s="67" t="s">
        <v>995</v>
      </c>
    </row>
    <row r="223" spans="1:7" hidden="1" x14ac:dyDescent="0.25">
      <c r="A223" s="103">
        <v>797729</v>
      </c>
      <c r="B223" s="67" t="s">
        <v>284</v>
      </c>
      <c r="C223" s="103" t="s">
        <v>77</v>
      </c>
      <c r="D223" s="67"/>
      <c r="E223" s="67" t="s">
        <v>467</v>
      </c>
      <c r="F223" s="67" t="s">
        <v>468</v>
      </c>
      <c r="G223" s="67" t="s">
        <v>996</v>
      </c>
    </row>
    <row r="224" spans="1:7" hidden="1" x14ac:dyDescent="0.25">
      <c r="A224" s="67"/>
      <c r="B224" s="67"/>
      <c r="C224" s="67"/>
      <c r="D224" s="67"/>
      <c r="E224" s="67"/>
      <c r="F224" s="67"/>
      <c r="G224" s="67"/>
    </row>
    <row r="225" spans="1:7" hidden="1" x14ac:dyDescent="0.25">
      <c r="A225" s="67">
        <v>762913</v>
      </c>
      <c r="B225" s="67" t="s">
        <v>35</v>
      </c>
      <c r="C225" s="67" t="s">
        <v>76</v>
      </c>
      <c r="D225" s="67"/>
      <c r="E225" s="67" t="s">
        <v>469</v>
      </c>
      <c r="F225" s="67" t="s">
        <v>470</v>
      </c>
      <c r="G225" s="67" t="s">
        <v>997</v>
      </c>
    </row>
    <row r="226" spans="1:7" hidden="1" x14ac:dyDescent="0.25">
      <c r="A226" s="67">
        <v>762914</v>
      </c>
      <c r="B226" s="67" t="s">
        <v>36</v>
      </c>
      <c r="C226" s="67" t="s">
        <v>76</v>
      </c>
      <c r="D226" s="67"/>
      <c r="E226" s="67" t="s">
        <v>471</v>
      </c>
      <c r="F226" s="67" t="s">
        <v>472</v>
      </c>
      <c r="G226" s="67" t="s">
        <v>998</v>
      </c>
    </row>
    <row r="227" spans="1:7" hidden="1" x14ac:dyDescent="0.25">
      <c r="A227" s="103">
        <v>797730</v>
      </c>
      <c r="B227" s="67" t="s">
        <v>285</v>
      </c>
      <c r="C227" s="103" t="s">
        <v>77</v>
      </c>
      <c r="D227" s="67"/>
      <c r="E227" s="67" t="s">
        <v>473</v>
      </c>
      <c r="F227" s="67" t="s">
        <v>474</v>
      </c>
      <c r="G227" s="67" t="s">
        <v>999</v>
      </c>
    </row>
    <row r="228" spans="1:7" hidden="1" x14ac:dyDescent="0.25">
      <c r="A228" s="103">
        <v>797732</v>
      </c>
      <c r="B228" s="67" t="s">
        <v>286</v>
      </c>
      <c r="C228" s="103" t="s">
        <v>77</v>
      </c>
      <c r="D228" s="67"/>
      <c r="E228" s="67" t="s">
        <v>475</v>
      </c>
      <c r="F228" s="67" t="s">
        <v>476</v>
      </c>
      <c r="G228" s="67" t="s">
        <v>1000</v>
      </c>
    </row>
    <row r="229" spans="1:7" hidden="1" x14ac:dyDescent="0.25">
      <c r="A229" s="67"/>
      <c r="B229" s="67"/>
      <c r="C229" s="67"/>
      <c r="D229" s="67"/>
      <c r="E229" s="67"/>
      <c r="F229" s="67"/>
      <c r="G229" s="67"/>
    </row>
    <row r="230" spans="1:7" hidden="1" x14ac:dyDescent="0.25">
      <c r="A230" s="67">
        <v>764350</v>
      </c>
      <c r="B230" s="67" t="s">
        <v>39</v>
      </c>
      <c r="C230" s="67"/>
      <c r="D230" s="67"/>
      <c r="E230" s="67" t="s">
        <v>477</v>
      </c>
      <c r="F230" s="67" t="s">
        <v>478</v>
      </c>
      <c r="G230" s="67" t="s">
        <v>1001</v>
      </c>
    </row>
    <row r="231" spans="1:7" hidden="1" x14ac:dyDescent="0.25">
      <c r="A231" s="67"/>
      <c r="B231" s="67"/>
      <c r="C231" s="67"/>
      <c r="D231" s="67"/>
      <c r="E231" s="67"/>
      <c r="F231" s="67"/>
      <c r="G231" s="67"/>
    </row>
    <row r="232" spans="1:7" hidden="1" x14ac:dyDescent="0.25">
      <c r="A232" s="67">
        <v>809612</v>
      </c>
      <c r="B232" s="67" t="s">
        <v>44</v>
      </c>
      <c r="C232" s="67" t="s">
        <v>80</v>
      </c>
      <c r="D232" s="67"/>
      <c r="E232" s="67" t="s">
        <v>479</v>
      </c>
      <c r="F232" s="67" t="s">
        <v>479</v>
      </c>
      <c r="G232" s="67" t="s">
        <v>1002</v>
      </c>
    </row>
    <row r="233" spans="1:7" hidden="1" x14ac:dyDescent="0.25">
      <c r="A233" s="67">
        <v>809614</v>
      </c>
      <c r="B233" s="67" t="s">
        <v>208</v>
      </c>
      <c r="C233" s="67" t="s">
        <v>207</v>
      </c>
      <c r="D233" s="67"/>
      <c r="E233" s="67" t="s">
        <v>480</v>
      </c>
      <c r="F233" s="67">
        <v>0</v>
      </c>
      <c r="G233" s="67" t="s">
        <v>1003</v>
      </c>
    </row>
    <row r="234" spans="1:7" hidden="1" x14ac:dyDescent="0.25">
      <c r="A234" s="103">
        <v>771375</v>
      </c>
      <c r="B234" s="103" t="s">
        <v>87</v>
      </c>
      <c r="C234" s="103" t="s">
        <v>77</v>
      </c>
      <c r="D234" s="67" t="s">
        <v>81</v>
      </c>
      <c r="E234" s="67" t="s">
        <v>481</v>
      </c>
      <c r="F234" s="67" t="s">
        <v>482</v>
      </c>
      <c r="G234" s="67" t="s">
        <v>1004</v>
      </c>
    </row>
    <row r="235" spans="1:7" hidden="1" x14ac:dyDescent="0.25">
      <c r="A235" s="67"/>
      <c r="B235" s="67"/>
      <c r="C235" s="67"/>
      <c r="D235" s="67"/>
      <c r="E235" s="67"/>
      <c r="F235" s="67"/>
      <c r="G235" s="67"/>
    </row>
    <row r="236" spans="1:7" hidden="1" x14ac:dyDescent="0.25">
      <c r="A236" s="67"/>
      <c r="B236" s="67"/>
      <c r="C236" s="67"/>
      <c r="D236" s="67"/>
      <c r="E236" s="67"/>
      <c r="F236" s="67"/>
      <c r="G236" s="67"/>
    </row>
    <row r="237" spans="1:7" hidden="1" x14ac:dyDescent="0.25">
      <c r="A237" s="67">
        <v>793493</v>
      </c>
      <c r="B237" s="67" t="s">
        <v>46</v>
      </c>
      <c r="C237" s="67" t="s">
        <v>47</v>
      </c>
      <c r="D237" s="67" t="s">
        <v>49</v>
      </c>
      <c r="E237" s="67" t="s">
        <v>483</v>
      </c>
      <c r="F237" s="67" t="s">
        <v>484</v>
      </c>
      <c r="G237" s="67" t="s">
        <v>1005</v>
      </c>
    </row>
    <row r="238" spans="1:7" hidden="1" x14ac:dyDescent="0.25">
      <c r="A238" s="103">
        <v>798223</v>
      </c>
      <c r="B238" s="103" t="s">
        <v>51</v>
      </c>
      <c r="C238" s="103" t="s">
        <v>45</v>
      </c>
      <c r="D238" s="103" t="s">
        <v>50</v>
      </c>
      <c r="E238" s="67" t="s">
        <v>485</v>
      </c>
      <c r="F238" s="67" t="s">
        <v>486</v>
      </c>
      <c r="G238" s="67" t="s">
        <v>1006</v>
      </c>
    </row>
    <row r="239" spans="1:7" hidden="1" x14ac:dyDescent="0.25">
      <c r="A239" s="67"/>
      <c r="B239" s="67"/>
      <c r="C239" s="67"/>
      <c r="D239" s="67"/>
      <c r="E239" s="67"/>
      <c r="F239" s="67"/>
      <c r="G239" s="67"/>
    </row>
    <row r="240" spans="1:7" hidden="1" x14ac:dyDescent="0.25">
      <c r="A240" s="130">
        <v>798225</v>
      </c>
      <c r="B240" s="130" t="s">
        <v>48</v>
      </c>
      <c r="C240" s="130" t="s">
        <v>1453</v>
      </c>
      <c r="D240" s="67"/>
      <c r="E240" s="67" t="s">
        <v>487</v>
      </c>
      <c r="F240" s="67" t="s">
        <v>488</v>
      </c>
      <c r="G240" s="67" t="s">
        <v>1007</v>
      </c>
    </row>
    <row r="241" spans="1:7" s="114" customFormat="1" hidden="1" x14ac:dyDescent="0.25">
      <c r="A241" s="115">
        <v>822796</v>
      </c>
      <c r="B241" s="115" t="s">
        <v>48</v>
      </c>
      <c r="C241" s="115"/>
      <c r="D241" s="115"/>
      <c r="E241" s="115" t="s">
        <v>487</v>
      </c>
      <c r="F241" s="115" t="s">
        <v>1423</v>
      </c>
      <c r="G241" s="115"/>
    </row>
    <row r="242" spans="1:7" s="98" customFormat="1" hidden="1" x14ac:dyDescent="0.25">
      <c r="A242" s="67"/>
      <c r="B242" s="67"/>
      <c r="C242" s="67"/>
      <c r="D242" s="67"/>
      <c r="E242" s="67"/>
      <c r="F242" s="67"/>
      <c r="G242" s="67"/>
    </row>
    <row r="243" spans="1:7" hidden="1" x14ac:dyDescent="0.25">
      <c r="A243" s="67">
        <v>788175</v>
      </c>
      <c r="B243" s="67" t="s">
        <v>341</v>
      </c>
      <c r="C243" s="67"/>
      <c r="D243" s="67"/>
      <c r="E243" s="67" t="s">
        <v>489</v>
      </c>
      <c r="F243" s="67" t="s">
        <v>490</v>
      </c>
      <c r="G243" s="67" t="s">
        <v>1008</v>
      </c>
    </row>
    <row r="244" spans="1:7" s="114" customFormat="1" hidden="1" x14ac:dyDescent="0.25">
      <c r="A244" s="115">
        <v>822789</v>
      </c>
      <c r="B244" s="115" t="s">
        <v>341</v>
      </c>
      <c r="C244" s="115"/>
      <c r="D244" s="115"/>
      <c r="E244" s="115" t="s">
        <v>1422</v>
      </c>
      <c r="F244" s="115" t="s">
        <v>1424</v>
      </c>
      <c r="G244" s="115"/>
    </row>
    <row r="245" spans="1:7" s="98" customFormat="1" hidden="1" x14ac:dyDescent="0.25">
      <c r="A245" s="67"/>
      <c r="B245" s="67"/>
      <c r="C245" s="67"/>
      <c r="D245" s="67"/>
      <c r="E245" s="67"/>
      <c r="F245" s="67"/>
      <c r="G245" s="67"/>
    </row>
    <row r="246" spans="1:7" hidden="1" x14ac:dyDescent="0.25">
      <c r="A246" s="104">
        <v>0</v>
      </c>
      <c r="B246" s="104" t="s">
        <v>40</v>
      </c>
      <c r="C246" s="67"/>
      <c r="D246" s="67"/>
      <c r="E246" s="104" t="s">
        <v>40</v>
      </c>
      <c r="F246" s="104" t="s">
        <v>40</v>
      </c>
      <c r="G246" s="67" t="s">
        <v>40</v>
      </c>
    </row>
    <row r="247" spans="1:7" hidden="1" x14ac:dyDescent="0.25">
      <c r="A247" s="105" t="s">
        <v>222</v>
      </c>
      <c r="B247" s="104" t="s">
        <v>223</v>
      </c>
      <c r="C247" s="67"/>
      <c r="D247" s="67"/>
      <c r="E247" s="67" t="s">
        <v>749</v>
      </c>
      <c r="F247" s="67" t="s">
        <v>748</v>
      </c>
      <c r="G247" s="67" t="s">
        <v>1009</v>
      </c>
    </row>
    <row r="248" spans="1:7" hidden="1" x14ac:dyDescent="0.25">
      <c r="A248" s="105" t="s">
        <v>242</v>
      </c>
      <c r="B248" s="104" t="s">
        <v>40</v>
      </c>
      <c r="C248" s="67"/>
      <c r="D248" s="67"/>
      <c r="E248" s="104" t="s">
        <v>40</v>
      </c>
      <c r="F248" s="104" t="s">
        <v>40</v>
      </c>
      <c r="G248" s="67" t="s">
        <v>40</v>
      </c>
    </row>
    <row r="249" spans="1:7" hidden="1" x14ac:dyDescent="0.25">
      <c r="A249" s="67"/>
      <c r="B249" s="67"/>
      <c r="C249" s="67"/>
      <c r="D249" s="67"/>
      <c r="E249" s="67"/>
      <c r="F249" s="67"/>
      <c r="G249" s="67"/>
    </row>
    <row r="250" spans="1:7" hidden="1" x14ac:dyDescent="0.25">
      <c r="A250" s="67">
        <v>744579</v>
      </c>
      <c r="B250" s="67" t="s">
        <v>84</v>
      </c>
      <c r="C250" s="67" t="s">
        <v>76</v>
      </c>
      <c r="D250" s="67"/>
      <c r="E250" s="67" t="s">
        <v>491</v>
      </c>
      <c r="F250" s="67" t="s">
        <v>492</v>
      </c>
      <c r="G250" s="67" t="s">
        <v>1010</v>
      </c>
    </row>
    <row r="251" spans="1:7" s="98" customFormat="1" hidden="1" x14ac:dyDescent="0.25">
      <c r="A251" s="130">
        <v>798226</v>
      </c>
      <c r="B251" s="130" t="s">
        <v>1451</v>
      </c>
      <c r="C251" s="130" t="s">
        <v>1453</v>
      </c>
      <c r="D251" s="67"/>
      <c r="E251" s="67" t="s">
        <v>1450</v>
      </c>
      <c r="F251" s="67" t="s">
        <v>1452</v>
      </c>
      <c r="G251" s="67"/>
    </row>
    <row r="252" spans="1:7" s="98" customFormat="1" hidden="1" x14ac:dyDescent="0.25">
      <c r="A252" s="67"/>
      <c r="B252" s="67"/>
      <c r="C252" s="67"/>
      <c r="D252" s="67"/>
      <c r="E252" s="67"/>
      <c r="F252" s="67"/>
      <c r="G252" s="67"/>
    </row>
    <row r="253" spans="1:7" s="98" customFormat="1" hidden="1" x14ac:dyDescent="0.25">
      <c r="A253">
        <v>788034</v>
      </c>
      <c r="B253" s="67" t="s">
        <v>1421</v>
      </c>
      <c r="C253" s="67"/>
      <c r="D253" s="67"/>
      <c r="E253" s="67"/>
      <c r="F253" s="67"/>
      <c r="G253" s="67"/>
    </row>
    <row r="254" spans="1:7" s="114" customFormat="1" hidden="1" x14ac:dyDescent="0.25">
      <c r="A254" s="115">
        <v>822788</v>
      </c>
      <c r="B254" s="115" t="s">
        <v>1421</v>
      </c>
      <c r="C254" s="115"/>
      <c r="D254" s="115"/>
      <c r="E254" s="128" t="s">
        <v>1425</v>
      </c>
      <c r="F254" s="115" t="s">
        <v>1423</v>
      </c>
      <c r="G254" s="115"/>
    </row>
    <row r="255" spans="1:7" s="98" customFormat="1" hidden="1" x14ac:dyDescent="0.25">
      <c r="A255" s="67"/>
      <c r="B255" s="67"/>
      <c r="C255" s="67"/>
      <c r="D255" s="67"/>
      <c r="E255" s="67"/>
      <c r="F255" s="67"/>
      <c r="G255" s="67"/>
    </row>
    <row r="256" spans="1:7" hidden="1" x14ac:dyDescent="0.25">
      <c r="A256" s="103">
        <v>798224</v>
      </c>
      <c r="B256" s="103" t="s">
        <v>78</v>
      </c>
      <c r="C256" s="103" t="s">
        <v>77</v>
      </c>
      <c r="D256" s="67"/>
      <c r="E256" s="67" t="s">
        <v>493</v>
      </c>
      <c r="F256" s="67" t="s">
        <v>494</v>
      </c>
      <c r="G256" s="67" t="s">
        <v>1011</v>
      </c>
    </row>
    <row r="257" spans="1:7" hidden="1" x14ac:dyDescent="0.25">
      <c r="A257" s="103">
        <v>798245</v>
      </c>
      <c r="B257" s="103" t="s">
        <v>79</v>
      </c>
      <c r="C257" s="103" t="s">
        <v>77</v>
      </c>
      <c r="D257" s="67"/>
      <c r="E257" s="67" t="s">
        <v>495</v>
      </c>
      <c r="F257" s="67" t="s">
        <v>496</v>
      </c>
      <c r="G257" s="67" t="s">
        <v>1012</v>
      </c>
    </row>
    <row r="258" spans="1:7" hidden="1" x14ac:dyDescent="0.25">
      <c r="A258" s="67"/>
      <c r="B258" s="67"/>
      <c r="C258" s="67"/>
      <c r="D258" s="67"/>
      <c r="E258" s="67"/>
      <c r="F258" s="67"/>
      <c r="G258" s="67"/>
    </row>
    <row r="259" spans="1:7" hidden="1" x14ac:dyDescent="0.25">
      <c r="A259" s="67">
        <v>806824</v>
      </c>
      <c r="B259" s="67" t="s">
        <v>287</v>
      </c>
      <c r="C259" s="67"/>
      <c r="D259" s="67"/>
      <c r="E259" s="67" t="s">
        <v>497</v>
      </c>
      <c r="F259" s="67" t="s">
        <v>498</v>
      </c>
      <c r="G259" s="67" t="s">
        <v>1013</v>
      </c>
    </row>
    <row r="260" spans="1:7" hidden="1" x14ac:dyDescent="0.25">
      <c r="A260" s="67"/>
      <c r="B260" s="67"/>
      <c r="C260" s="67"/>
      <c r="D260" s="67"/>
      <c r="E260" s="67"/>
      <c r="F260" s="67"/>
      <c r="G260" s="67"/>
    </row>
    <row r="261" spans="1:7" hidden="1" x14ac:dyDescent="0.25">
      <c r="A261" s="67">
        <v>635307</v>
      </c>
      <c r="B261" s="67" t="s">
        <v>53</v>
      </c>
      <c r="C261" s="67"/>
      <c r="D261" s="67"/>
      <c r="E261" s="67" t="s">
        <v>499</v>
      </c>
      <c r="F261" s="67" t="s">
        <v>500</v>
      </c>
      <c r="G261" s="67" t="s">
        <v>1014</v>
      </c>
    </row>
    <row r="262" spans="1:7" hidden="1" x14ac:dyDescent="0.25">
      <c r="A262" s="67"/>
      <c r="B262" s="67"/>
      <c r="C262" s="67"/>
      <c r="D262" s="67"/>
      <c r="E262" s="67"/>
      <c r="F262" s="67"/>
      <c r="G262" s="67"/>
    </row>
    <row r="263" spans="1:7" hidden="1" x14ac:dyDescent="0.25">
      <c r="A263" s="67">
        <v>635183</v>
      </c>
      <c r="B263" s="67" t="s">
        <v>54</v>
      </c>
      <c r="C263" s="67"/>
      <c r="D263" s="67"/>
      <c r="E263" s="67" t="s">
        <v>501</v>
      </c>
      <c r="F263" s="67" t="s">
        <v>502</v>
      </c>
      <c r="G263" s="67" t="s">
        <v>1015</v>
      </c>
    </row>
    <row r="264" spans="1:7" hidden="1" x14ac:dyDescent="0.25">
      <c r="A264" s="103">
        <v>798249</v>
      </c>
      <c r="B264" s="103" t="s">
        <v>82</v>
      </c>
      <c r="C264" s="103" t="s">
        <v>77</v>
      </c>
      <c r="D264" s="67"/>
      <c r="E264" s="67" t="s">
        <v>503</v>
      </c>
      <c r="F264" s="67" t="s">
        <v>504</v>
      </c>
      <c r="G264" s="67" t="s">
        <v>1016</v>
      </c>
    </row>
    <row r="265" spans="1:7" s="98" customFormat="1" hidden="1" x14ac:dyDescent="0.25">
      <c r="A265" s="67">
        <v>800196</v>
      </c>
      <c r="B265" s="67" t="s">
        <v>846</v>
      </c>
      <c r="C265" s="67" t="s">
        <v>845</v>
      </c>
      <c r="D265" s="67"/>
      <c r="E265" s="67" t="s">
        <v>848</v>
      </c>
      <c r="F265" s="67" t="s">
        <v>849</v>
      </c>
      <c r="G265" s="67"/>
    </row>
    <row r="266" spans="1:7" s="98" customFormat="1" hidden="1" x14ac:dyDescent="0.25">
      <c r="A266" s="67">
        <v>800197</v>
      </c>
      <c r="B266" s="67" t="s">
        <v>847</v>
      </c>
      <c r="C266" s="67" t="s">
        <v>844</v>
      </c>
      <c r="D266" s="67"/>
      <c r="E266" s="67" t="s">
        <v>850</v>
      </c>
      <c r="F266" s="67" t="s">
        <v>851</v>
      </c>
      <c r="G266" s="67"/>
    </row>
    <row r="267" spans="1:7" hidden="1" x14ac:dyDescent="0.25">
      <c r="A267" s="67"/>
      <c r="B267" s="67"/>
      <c r="C267" s="67"/>
      <c r="D267" s="67"/>
      <c r="E267" s="67"/>
      <c r="F267" s="67"/>
      <c r="G267" s="67"/>
    </row>
    <row r="268" spans="1:7" hidden="1" x14ac:dyDescent="0.25">
      <c r="A268" s="67">
        <v>798979</v>
      </c>
      <c r="B268" s="67" t="s">
        <v>852</v>
      </c>
      <c r="C268" s="67"/>
      <c r="D268" s="67"/>
      <c r="E268" s="67" t="s">
        <v>56</v>
      </c>
      <c r="F268" s="67" t="s">
        <v>505</v>
      </c>
      <c r="G268" s="67" t="s">
        <v>1116</v>
      </c>
    </row>
    <row r="269" spans="1:7" hidden="1" x14ac:dyDescent="0.25">
      <c r="A269" s="67">
        <v>808054</v>
      </c>
      <c r="B269" s="67" t="s">
        <v>853</v>
      </c>
      <c r="C269" s="67"/>
      <c r="D269" s="67"/>
      <c r="E269" s="67" t="s">
        <v>55</v>
      </c>
      <c r="F269" s="67" t="s">
        <v>506</v>
      </c>
      <c r="G269" s="67" t="s">
        <v>1117</v>
      </c>
    </row>
    <row r="270" spans="1:7" s="98" customFormat="1" hidden="1" x14ac:dyDescent="0.25">
      <c r="A270" s="67">
        <v>819631</v>
      </c>
      <c r="B270" s="67" t="s">
        <v>1146</v>
      </c>
      <c r="C270" s="67"/>
      <c r="D270" s="67"/>
      <c r="E270" s="67" t="s">
        <v>1144</v>
      </c>
      <c r="F270" s="67" t="s">
        <v>1150</v>
      </c>
      <c r="G270" s="67" t="s">
        <v>1152</v>
      </c>
    </row>
    <row r="271" spans="1:7" s="98" customFormat="1" hidden="1" x14ac:dyDescent="0.25">
      <c r="A271" s="67">
        <v>819632</v>
      </c>
      <c r="B271" s="67" t="s">
        <v>1147</v>
      </c>
      <c r="C271" s="67"/>
      <c r="D271" s="67"/>
      <c r="E271" s="67" t="s">
        <v>1145</v>
      </c>
      <c r="F271" s="67" t="s">
        <v>1151</v>
      </c>
      <c r="G271" s="67" t="s">
        <v>1153</v>
      </c>
    </row>
    <row r="272" spans="1:7" hidden="1" x14ac:dyDescent="0.25">
      <c r="A272" s="67"/>
      <c r="B272" s="67"/>
      <c r="C272" s="67"/>
      <c r="D272" s="67"/>
      <c r="E272" s="67"/>
      <c r="F272" s="67"/>
      <c r="G272" s="67"/>
    </row>
    <row r="273" spans="1:7" hidden="1" x14ac:dyDescent="0.25">
      <c r="A273" s="67">
        <v>782919</v>
      </c>
      <c r="B273" s="67"/>
      <c r="C273" s="67"/>
      <c r="D273" s="67" t="s">
        <v>237</v>
      </c>
      <c r="E273" s="67"/>
      <c r="F273" s="67"/>
      <c r="G273" s="67"/>
    </row>
    <row r="274" spans="1:7" hidden="1" x14ac:dyDescent="0.25">
      <c r="A274" s="67">
        <v>782920</v>
      </c>
      <c r="B274" s="67"/>
      <c r="C274" s="67"/>
      <c r="D274" s="67" t="s">
        <v>237</v>
      </c>
      <c r="E274" s="67"/>
      <c r="F274" s="67"/>
      <c r="G274" s="67"/>
    </row>
    <row r="275" spans="1:7" hidden="1" x14ac:dyDescent="0.25">
      <c r="A275" s="67"/>
      <c r="B275" s="67"/>
      <c r="C275" s="67"/>
      <c r="D275" s="67"/>
      <c r="E275" s="67"/>
      <c r="F275" s="67"/>
      <c r="G275" s="67"/>
    </row>
    <row r="276" spans="1:7" hidden="1" x14ac:dyDescent="0.25">
      <c r="A276" s="103">
        <v>807733</v>
      </c>
      <c r="B276" s="103" t="s">
        <v>88</v>
      </c>
      <c r="C276" s="103"/>
      <c r="D276" s="67" t="s">
        <v>204</v>
      </c>
      <c r="E276" s="67" t="s">
        <v>507</v>
      </c>
      <c r="F276" s="67" t="s">
        <v>508</v>
      </c>
      <c r="G276" s="67" t="s">
        <v>1017</v>
      </c>
    </row>
    <row r="277" spans="1:7" hidden="1" x14ac:dyDescent="0.25">
      <c r="A277" s="103">
        <v>807734</v>
      </c>
      <c r="B277" s="103" t="s">
        <v>89</v>
      </c>
      <c r="C277" s="103"/>
      <c r="D277" s="67" t="s">
        <v>204</v>
      </c>
      <c r="E277" s="67" t="s">
        <v>509</v>
      </c>
      <c r="F277" s="67" t="s">
        <v>510</v>
      </c>
      <c r="G277" s="67" t="s">
        <v>1018</v>
      </c>
    </row>
    <row r="278" spans="1:7" hidden="1" x14ac:dyDescent="0.25">
      <c r="A278" s="67"/>
      <c r="B278" s="67"/>
      <c r="C278" s="67"/>
      <c r="D278" s="67"/>
      <c r="E278" s="67"/>
      <c r="F278" s="67"/>
      <c r="G278" s="67"/>
    </row>
    <row r="279" spans="1:7" hidden="1" x14ac:dyDescent="0.25">
      <c r="A279" s="67">
        <v>782921</v>
      </c>
      <c r="B279" s="67" t="s">
        <v>205</v>
      </c>
      <c r="C279" s="67"/>
      <c r="D279" s="67"/>
      <c r="E279" s="67" t="s">
        <v>511</v>
      </c>
      <c r="F279" s="67" t="s">
        <v>512</v>
      </c>
      <c r="G279" s="67" t="s">
        <v>1019</v>
      </c>
    </row>
    <row r="280" spans="1:7" hidden="1" x14ac:dyDescent="0.25">
      <c r="A280" s="67">
        <v>782922</v>
      </c>
      <c r="B280" s="67" t="s">
        <v>206</v>
      </c>
      <c r="C280" s="67"/>
      <c r="D280" s="67"/>
      <c r="E280" s="67" t="s">
        <v>513</v>
      </c>
      <c r="F280" s="67" t="s">
        <v>514</v>
      </c>
      <c r="G280" s="67" t="s">
        <v>1020</v>
      </c>
    </row>
    <row r="281" spans="1:7" hidden="1" x14ac:dyDescent="0.25">
      <c r="A281" s="67"/>
      <c r="B281" s="67"/>
      <c r="C281" s="67"/>
      <c r="D281" s="67"/>
      <c r="E281" s="67"/>
      <c r="F281" s="67"/>
      <c r="G281" s="67"/>
    </row>
    <row r="282" spans="1:7" hidden="1" x14ac:dyDescent="0.25">
      <c r="A282" s="103">
        <v>473587</v>
      </c>
      <c r="B282" s="103" t="s">
        <v>90</v>
      </c>
      <c r="C282" s="103"/>
      <c r="D282" s="67"/>
      <c r="E282" s="67" t="s">
        <v>515</v>
      </c>
      <c r="F282" s="67" t="s">
        <v>516</v>
      </c>
      <c r="G282" s="67" t="s">
        <v>1021</v>
      </c>
    </row>
    <row r="283" spans="1:7" hidden="1" x14ac:dyDescent="0.25">
      <c r="A283" s="103">
        <v>473588</v>
      </c>
      <c r="B283" s="103" t="s">
        <v>91</v>
      </c>
      <c r="C283" s="103"/>
      <c r="D283" s="67"/>
      <c r="E283" s="67" t="s">
        <v>517</v>
      </c>
      <c r="F283" s="67" t="s">
        <v>518</v>
      </c>
      <c r="G283" s="67" t="s">
        <v>1022</v>
      </c>
    </row>
    <row r="284" spans="1:7" hidden="1" x14ac:dyDescent="0.25">
      <c r="A284" s="67"/>
      <c r="B284" s="67"/>
      <c r="C284" s="67"/>
      <c r="D284" s="67"/>
      <c r="E284" s="67"/>
      <c r="F284" s="67"/>
      <c r="G284" s="67"/>
    </row>
    <row r="285" spans="1:7" hidden="1" x14ac:dyDescent="0.25">
      <c r="A285" s="67">
        <v>786362</v>
      </c>
      <c r="B285" s="67" t="s">
        <v>135</v>
      </c>
      <c r="C285" s="67"/>
      <c r="D285" s="67"/>
      <c r="E285" s="67" t="s">
        <v>519</v>
      </c>
      <c r="F285" s="67" t="s">
        <v>520</v>
      </c>
      <c r="G285" s="67" t="s">
        <v>1023</v>
      </c>
    </row>
    <row r="286" spans="1:7" hidden="1" x14ac:dyDescent="0.25">
      <c r="A286" s="67">
        <v>786669</v>
      </c>
      <c r="B286" s="67" t="s">
        <v>136</v>
      </c>
      <c r="C286" s="67"/>
      <c r="D286" s="67"/>
      <c r="E286" s="67" t="s">
        <v>521</v>
      </c>
      <c r="F286" s="67" t="s">
        <v>522</v>
      </c>
      <c r="G286" s="67" t="s">
        <v>1024</v>
      </c>
    </row>
    <row r="287" spans="1:7" hidden="1" x14ac:dyDescent="0.25">
      <c r="A287" s="67">
        <v>786670</v>
      </c>
      <c r="B287" s="67" t="s">
        <v>137</v>
      </c>
      <c r="C287" s="67"/>
      <c r="D287" s="67"/>
      <c r="E287" s="67" t="s">
        <v>523</v>
      </c>
      <c r="F287" s="67" t="s">
        <v>524</v>
      </c>
      <c r="G287" s="67" t="s">
        <v>1025</v>
      </c>
    </row>
    <row r="288" spans="1:7" hidden="1" x14ac:dyDescent="0.25">
      <c r="A288" s="67">
        <v>786671</v>
      </c>
      <c r="B288" s="67" t="s">
        <v>138</v>
      </c>
      <c r="C288" s="67"/>
      <c r="D288" s="67"/>
      <c r="E288" s="67" t="s">
        <v>525</v>
      </c>
      <c r="F288" s="67" t="s">
        <v>526</v>
      </c>
      <c r="G288" s="67" t="s">
        <v>1026</v>
      </c>
    </row>
    <row r="289" spans="1:7" hidden="1" x14ac:dyDescent="0.25">
      <c r="A289" s="67">
        <v>786363</v>
      </c>
      <c r="B289" s="67" t="s">
        <v>139</v>
      </c>
      <c r="C289" s="67"/>
      <c r="D289" s="67"/>
      <c r="E289" s="67" t="s">
        <v>527</v>
      </c>
      <c r="F289" s="67" t="s">
        <v>528</v>
      </c>
      <c r="G289" s="67" t="s">
        <v>1027</v>
      </c>
    </row>
    <row r="290" spans="1:7" hidden="1" x14ac:dyDescent="0.25">
      <c r="A290" s="67">
        <v>786364</v>
      </c>
      <c r="B290" s="67" t="s">
        <v>140</v>
      </c>
      <c r="C290" s="67"/>
      <c r="D290" s="67"/>
      <c r="E290" s="67" t="s">
        <v>529</v>
      </c>
      <c r="F290" s="67" t="s">
        <v>530</v>
      </c>
      <c r="G290" s="67" t="s">
        <v>1028</v>
      </c>
    </row>
    <row r="291" spans="1:7" hidden="1" x14ac:dyDescent="0.25">
      <c r="A291" s="67">
        <v>786673</v>
      </c>
      <c r="B291" s="67" t="s">
        <v>141</v>
      </c>
      <c r="C291" s="67"/>
      <c r="D291" s="67"/>
      <c r="E291" s="67" t="s">
        <v>531</v>
      </c>
      <c r="F291" s="67" t="s">
        <v>532</v>
      </c>
      <c r="G291" s="67" t="s">
        <v>1029</v>
      </c>
    </row>
    <row r="292" spans="1:7" hidden="1" x14ac:dyDescent="0.25">
      <c r="A292" s="67">
        <v>786674</v>
      </c>
      <c r="B292" s="67" t="s">
        <v>142</v>
      </c>
      <c r="C292" s="67"/>
      <c r="D292" s="67"/>
      <c r="E292" s="67" t="s">
        <v>533</v>
      </c>
      <c r="F292" s="67" t="s">
        <v>534</v>
      </c>
      <c r="G292" s="67" t="s">
        <v>1030</v>
      </c>
    </row>
    <row r="293" spans="1:7" hidden="1" x14ac:dyDescent="0.25">
      <c r="A293" s="67">
        <v>786395</v>
      </c>
      <c r="B293" s="67" t="s">
        <v>143</v>
      </c>
      <c r="C293" s="67"/>
      <c r="D293" s="67"/>
      <c r="E293" s="67" t="s">
        <v>535</v>
      </c>
      <c r="F293" s="67" t="s">
        <v>536</v>
      </c>
      <c r="G293" s="67" t="s">
        <v>1031</v>
      </c>
    </row>
    <row r="294" spans="1:7" hidden="1" x14ac:dyDescent="0.25">
      <c r="A294" s="67">
        <v>786717</v>
      </c>
      <c r="B294" s="67" t="s">
        <v>144</v>
      </c>
      <c r="C294" s="67"/>
      <c r="D294" s="67"/>
      <c r="E294" s="67" t="s">
        <v>537</v>
      </c>
      <c r="F294" s="67" t="s">
        <v>538</v>
      </c>
      <c r="G294" s="67" t="s">
        <v>1032</v>
      </c>
    </row>
    <row r="295" spans="1:7" hidden="1" x14ac:dyDescent="0.25">
      <c r="A295" s="67">
        <v>780549</v>
      </c>
      <c r="B295" s="67" t="s">
        <v>145</v>
      </c>
      <c r="C295" s="67"/>
      <c r="D295" s="67"/>
      <c r="E295" s="67" t="s">
        <v>539</v>
      </c>
      <c r="F295" s="67" t="s">
        <v>540</v>
      </c>
      <c r="G295" s="67" t="s">
        <v>1033</v>
      </c>
    </row>
    <row r="296" spans="1:7" hidden="1" x14ac:dyDescent="0.25">
      <c r="A296" s="67">
        <v>786517</v>
      </c>
      <c r="B296" s="67" t="s">
        <v>146</v>
      </c>
      <c r="C296" s="67"/>
      <c r="D296" s="67"/>
      <c r="E296" s="67" t="s">
        <v>541</v>
      </c>
      <c r="F296" s="67" t="s">
        <v>542</v>
      </c>
      <c r="G296" s="67" t="s">
        <v>1034</v>
      </c>
    </row>
    <row r="297" spans="1:7" hidden="1" x14ac:dyDescent="0.25">
      <c r="A297" s="67">
        <v>780552</v>
      </c>
      <c r="B297" s="67" t="s">
        <v>147</v>
      </c>
      <c r="C297" s="67"/>
      <c r="D297" s="67"/>
      <c r="E297" s="67" t="s">
        <v>543</v>
      </c>
      <c r="F297" s="67" t="s">
        <v>544</v>
      </c>
      <c r="G297" s="67" t="s">
        <v>1035</v>
      </c>
    </row>
    <row r="298" spans="1:7" hidden="1" x14ac:dyDescent="0.25">
      <c r="A298" s="67">
        <v>786519</v>
      </c>
      <c r="B298" s="67" t="s">
        <v>148</v>
      </c>
      <c r="C298" s="67"/>
      <c r="D298" s="67"/>
      <c r="E298" s="67" t="s">
        <v>545</v>
      </c>
      <c r="F298" s="67" t="s">
        <v>546</v>
      </c>
      <c r="G298" s="67" t="s">
        <v>1036</v>
      </c>
    </row>
    <row r="299" spans="1:7" hidden="1" x14ac:dyDescent="0.25">
      <c r="A299" s="67">
        <v>780575</v>
      </c>
      <c r="B299" s="67" t="s">
        <v>149</v>
      </c>
      <c r="C299" s="67"/>
      <c r="D299" s="67"/>
      <c r="E299" s="67" t="s">
        <v>547</v>
      </c>
      <c r="F299" s="67" t="s">
        <v>548</v>
      </c>
      <c r="G299" s="67" t="s">
        <v>1037</v>
      </c>
    </row>
    <row r="300" spans="1:7" hidden="1" x14ac:dyDescent="0.25">
      <c r="A300" s="67">
        <v>780576</v>
      </c>
      <c r="B300" s="67" t="s">
        <v>150</v>
      </c>
      <c r="C300" s="67"/>
      <c r="D300" s="67"/>
      <c r="E300" s="67" t="s">
        <v>549</v>
      </c>
      <c r="F300" s="67" t="s">
        <v>550</v>
      </c>
      <c r="G300" s="67" t="s">
        <v>1038</v>
      </c>
    </row>
    <row r="301" spans="1:7" hidden="1" x14ac:dyDescent="0.25">
      <c r="A301" s="67">
        <v>780577</v>
      </c>
      <c r="B301" s="67" t="s">
        <v>151</v>
      </c>
      <c r="C301" s="67"/>
      <c r="D301" s="67"/>
      <c r="E301" s="67" t="s">
        <v>551</v>
      </c>
      <c r="F301" s="67" t="s">
        <v>552</v>
      </c>
      <c r="G301" s="67" t="s">
        <v>1039</v>
      </c>
    </row>
    <row r="302" spans="1:7" hidden="1" x14ac:dyDescent="0.25">
      <c r="A302" s="67">
        <v>786715</v>
      </c>
      <c r="B302" s="67" t="s">
        <v>152</v>
      </c>
      <c r="C302" s="67"/>
      <c r="D302" s="67"/>
      <c r="E302" s="67" t="s">
        <v>553</v>
      </c>
      <c r="F302" s="67" t="s">
        <v>554</v>
      </c>
      <c r="G302" s="67" t="s">
        <v>1040</v>
      </c>
    </row>
    <row r="303" spans="1:7" hidden="1" x14ac:dyDescent="0.25">
      <c r="A303" s="67">
        <v>780578</v>
      </c>
      <c r="B303" s="67" t="s">
        <v>153</v>
      </c>
      <c r="C303" s="67"/>
      <c r="D303" s="67"/>
      <c r="E303" s="67" t="s">
        <v>555</v>
      </c>
      <c r="F303" s="67" t="s">
        <v>556</v>
      </c>
      <c r="G303" s="67" t="s">
        <v>1041</v>
      </c>
    </row>
    <row r="304" spans="1:7" hidden="1" x14ac:dyDescent="0.25">
      <c r="A304" s="67">
        <v>780579</v>
      </c>
      <c r="B304" s="67" t="s">
        <v>154</v>
      </c>
      <c r="C304" s="67"/>
      <c r="D304" s="67"/>
      <c r="E304" s="67" t="s">
        <v>557</v>
      </c>
      <c r="F304" s="67" t="s">
        <v>558</v>
      </c>
      <c r="G304" s="67" t="s">
        <v>1042</v>
      </c>
    </row>
    <row r="305" spans="1:7" hidden="1" x14ac:dyDescent="0.25">
      <c r="A305" s="67">
        <v>780551</v>
      </c>
      <c r="B305" s="67" t="s">
        <v>110</v>
      </c>
      <c r="C305" s="67"/>
      <c r="D305" s="67"/>
      <c r="E305" s="67" t="s">
        <v>559</v>
      </c>
      <c r="F305" s="67" t="s">
        <v>560</v>
      </c>
      <c r="G305" s="67" t="s">
        <v>1043</v>
      </c>
    </row>
    <row r="306" spans="1:7" hidden="1" x14ac:dyDescent="0.25">
      <c r="A306" s="67">
        <v>786518</v>
      </c>
      <c r="B306" s="67" t="s">
        <v>111</v>
      </c>
      <c r="C306" s="67"/>
      <c r="D306" s="67"/>
      <c r="E306" s="67" t="s">
        <v>561</v>
      </c>
      <c r="F306" s="67" t="s">
        <v>562</v>
      </c>
      <c r="G306" s="67" t="s">
        <v>1044</v>
      </c>
    </row>
    <row r="307" spans="1:7" hidden="1" x14ac:dyDescent="0.25">
      <c r="A307" s="67">
        <v>780580</v>
      </c>
      <c r="B307" s="67" t="s">
        <v>112</v>
      </c>
      <c r="C307" s="67"/>
      <c r="D307" s="67"/>
      <c r="E307" s="67" t="s">
        <v>563</v>
      </c>
      <c r="F307" s="67" t="s">
        <v>564</v>
      </c>
      <c r="G307" s="67" t="s">
        <v>1045</v>
      </c>
    </row>
    <row r="308" spans="1:7" hidden="1" x14ac:dyDescent="0.25">
      <c r="A308" s="67">
        <v>786672</v>
      </c>
      <c r="B308" s="124" t="s">
        <v>113</v>
      </c>
      <c r="C308" s="67"/>
      <c r="D308" s="67"/>
      <c r="E308" s="67" t="s">
        <v>565</v>
      </c>
      <c r="F308" s="67" t="s">
        <v>566</v>
      </c>
      <c r="G308" s="67" t="s">
        <v>1046</v>
      </c>
    </row>
    <row r="309" spans="1:7" s="114" customFormat="1" hidden="1" x14ac:dyDescent="0.25">
      <c r="A309" s="114">
        <v>820797</v>
      </c>
      <c r="B309" s="114" t="s">
        <v>1235</v>
      </c>
      <c r="C309" s="115"/>
      <c r="D309" s="115"/>
      <c r="E309" s="114" t="s">
        <v>1238</v>
      </c>
      <c r="F309" s="115" t="s">
        <v>1240</v>
      </c>
      <c r="G309" s="115" t="s">
        <v>1245</v>
      </c>
    </row>
    <row r="310" spans="1:7" hidden="1" x14ac:dyDescent="0.25">
      <c r="A310" s="67">
        <v>780581</v>
      </c>
      <c r="B310" s="67" t="s">
        <v>114</v>
      </c>
      <c r="C310" s="67"/>
      <c r="D310" s="67"/>
      <c r="E310" s="67" t="s">
        <v>567</v>
      </c>
      <c r="F310" s="67" t="s">
        <v>568</v>
      </c>
      <c r="G310" s="67" t="s">
        <v>1047</v>
      </c>
    </row>
    <row r="311" spans="1:7" hidden="1" x14ac:dyDescent="0.25">
      <c r="A311" s="67">
        <v>780582</v>
      </c>
      <c r="B311" s="67" t="s">
        <v>115</v>
      </c>
      <c r="C311" s="67"/>
      <c r="D311" s="67"/>
      <c r="E311" s="67" t="s">
        <v>569</v>
      </c>
      <c r="F311" s="67" t="s">
        <v>570</v>
      </c>
      <c r="G311" s="67" t="s">
        <v>1048</v>
      </c>
    </row>
    <row r="312" spans="1:7" hidden="1" x14ac:dyDescent="0.25">
      <c r="A312" s="67">
        <v>780583</v>
      </c>
      <c r="B312" s="67" t="s">
        <v>116</v>
      </c>
      <c r="C312" s="67"/>
      <c r="D312" s="67"/>
      <c r="E312" s="67" t="s">
        <v>571</v>
      </c>
      <c r="F312" s="67" t="s">
        <v>572</v>
      </c>
      <c r="G312" s="67" t="s">
        <v>1049</v>
      </c>
    </row>
    <row r="313" spans="1:7" hidden="1" x14ac:dyDescent="0.25">
      <c r="A313" s="67">
        <v>786716</v>
      </c>
      <c r="B313" s="67" t="s">
        <v>117</v>
      </c>
      <c r="C313" s="67"/>
      <c r="D313" s="67"/>
      <c r="E313" s="67" t="s">
        <v>573</v>
      </c>
      <c r="F313" s="67" t="s">
        <v>574</v>
      </c>
      <c r="G313" s="67" t="s">
        <v>1050</v>
      </c>
    </row>
    <row r="314" spans="1:7" hidden="1" x14ac:dyDescent="0.25">
      <c r="A314" s="67">
        <v>780584</v>
      </c>
      <c r="B314" s="67" t="s">
        <v>118</v>
      </c>
      <c r="C314" s="67"/>
      <c r="D314" s="67"/>
      <c r="E314" s="67" t="s">
        <v>575</v>
      </c>
      <c r="F314" s="67" t="s">
        <v>576</v>
      </c>
      <c r="G314" s="67" t="s">
        <v>1051</v>
      </c>
    </row>
    <row r="315" spans="1:7" hidden="1" x14ac:dyDescent="0.25">
      <c r="A315" s="67">
        <v>780585</v>
      </c>
      <c r="B315" s="67" t="s">
        <v>119</v>
      </c>
      <c r="C315" s="67"/>
      <c r="D315" s="67"/>
      <c r="E315" s="67" t="s">
        <v>577</v>
      </c>
      <c r="F315" s="67" t="s">
        <v>578</v>
      </c>
      <c r="G315" s="67" t="s">
        <v>1052</v>
      </c>
    </row>
    <row r="316" spans="1:7" hidden="1" x14ac:dyDescent="0.25">
      <c r="A316" s="67">
        <v>786719</v>
      </c>
      <c r="B316" s="67" t="s">
        <v>155</v>
      </c>
      <c r="C316" s="67"/>
      <c r="D316" s="67"/>
      <c r="E316" s="67" t="s">
        <v>579</v>
      </c>
      <c r="F316" s="67" t="s">
        <v>580</v>
      </c>
      <c r="G316" s="67" t="s">
        <v>1053</v>
      </c>
    </row>
    <row r="317" spans="1:7" hidden="1" x14ac:dyDescent="0.25">
      <c r="A317" s="67">
        <v>786720</v>
      </c>
      <c r="B317" s="67" t="s">
        <v>156</v>
      </c>
      <c r="C317" s="67"/>
      <c r="D317" s="67"/>
      <c r="E317" s="67" t="s">
        <v>581</v>
      </c>
      <c r="F317" s="67" t="s">
        <v>582</v>
      </c>
      <c r="G317" s="67" t="s">
        <v>1054</v>
      </c>
    </row>
    <row r="318" spans="1:7" hidden="1" x14ac:dyDescent="0.25">
      <c r="A318" s="67">
        <v>786732</v>
      </c>
      <c r="B318" s="67" t="s">
        <v>157</v>
      </c>
      <c r="C318" s="67"/>
      <c r="D318" s="67"/>
      <c r="E318" s="67" t="s">
        <v>583</v>
      </c>
      <c r="F318" s="67">
        <v>0</v>
      </c>
      <c r="G318" s="67" t="s">
        <v>1055</v>
      </c>
    </row>
    <row r="319" spans="1:7" hidden="1" x14ac:dyDescent="0.25">
      <c r="A319" s="67">
        <v>786733</v>
      </c>
      <c r="B319" s="67" t="s">
        <v>158</v>
      </c>
      <c r="C319" s="67"/>
      <c r="D319" s="67"/>
      <c r="E319" s="67" t="s">
        <v>584</v>
      </c>
      <c r="F319" s="67">
        <v>0</v>
      </c>
      <c r="G319" s="67" t="s">
        <v>1056</v>
      </c>
    </row>
    <row r="320" spans="1:7" hidden="1" x14ac:dyDescent="0.25">
      <c r="A320" s="67">
        <v>786397</v>
      </c>
      <c r="B320" s="67" t="s">
        <v>159</v>
      </c>
      <c r="C320" s="67"/>
      <c r="D320" s="67"/>
      <c r="E320" s="67" t="s">
        <v>585</v>
      </c>
      <c r="F320" s="67" t="s">
        <v>586</v>
      </c>
      <c r="G320" s="67" t="s">
        <v>1057</v>
      </c>
    </row>
    <row r="321" spans="1:7" hidden="1" x14ac:dyDescent="0.25">
      <c r="A321" s="67">
        <v>786398</v>
      </c>
      <c r="B321" s="67" t="s">
        <v>160</v>
      </c>
      <c r="C321" s="67"/>
      <c r="D321" s="67"/>
      <c r="E321" s="67" t="s">
        <v>587</v>
      </c>
      <c r="F321" s="67" t="s">
        <v>588</v>
      </c>
      <c r="G321" s="67" t="s">
        <v>1058</v>
      </c>
    </row>
    <row r="322" spans="1:7" hidden="1" x14ac:dyDescent="0.25">
      <c r="A322" s="67">
        <v>787000</v>
      </c>
      <c r="B322" s="67" t="s">
        <v>130</v>
      </c>
      <c r="C322" s="67"/>
      <c r="D322" s="67"/>
      <c r="E322" s="67"/>
      <c r="F322" s="67"/>
      <c r="G322" s="67" t="s">
        <v>1059</v>
      </c>
    </row>
    <row r="323" spans="1:7" hidden="1" x14ac:dyDescent="0.25">
      <c r="A323" s="67">
        <v>787002</v>
      </c>
      <c r="B323" s="67" t="s">
        <v>131</v>
      </c>
      <c r="C323" s="67"/>
      <c r="D323" s="67"/>
      <c r="E323" s="67" t="s">
        <v>589</v>
      </c>
      <c r="F323" s="67">
        <v>0</v>
      </c>
      <c r="G323" s="67" t="s">
        <v>1060</v>
      </c>
    </row>
    <row r="324" spans="1:7" hidden="1" x14ac:dyDescent="0.25">
      <c r="A324" s="67">
        <v>786399</v>
      </c>
      <c r="B324" s="67" t="s">
        <v>161</v>
      </c>
      <c r="C324" s="67"/>
      <c r="D324" s="67"/>
      <c r="E324" s="67" t="s">
        <v>590</v>
      </c>
      <c r="F324" s="67" t="s">
        <v>591</v>
      </c>
      <c r="G324" s="67" t="s">
        <v>1061</v>
      </c>
    </row>
    <row r="325" spans="1:7" hidden="1" x14ac:dyDescent="0.25">
      <c r="A325" s="67">
        <v>787001</v>
      </c>
      <c r="B325" s="67" t="s">
        <v>132</v>
      </c>
      <c r="C325" s="67"/>
      <c r="D325" s="67"/>
      <c r="E325" s="67"/>
      <c r="F325" s="67"/>
      <c r="G325" s="67" t="s">
        <v>1062</v>
      </c>
    </row>
    <row r="326" spans="1:7" hidden="1" x14ac:dyDescent="0.25">
      <c r="A326" s="67">
        <v>780586</v>
      </c>
      <c r="B326" s="67" t="s">
        <v>162</v>
      </c>
      <c r="C326" s="67"/>
      <c r="D326" s="67"/>
      <c r="E326" s="67" t="s">
        <v>592</v>
      </c>
      <c r="F326" s="67" t="s">
        <v>593</v>
      </c>
      <c r="G326" s="67" t="s">
        <v>1063</v>
      </c>
    </row>
    <row r="327" spans="1:7" hidden="1" x14ac:dyDescent="0.25">
      <c r="A327" s="67">
        <v>786396</v>
      </c>
      <c r="B327" s="67" t="s">
        <v>163</v>
      </c>
      <c r="C327" s="67"/>
      <c r="D327" s="67"/>
      <c r="E327" s="67" t="s">
        <v>594</v>
      </c>
      <c r="F327" s="67" t="s">
        <v>595</v>
      </c>
      <c r="G327" s="67" t="s">
        <v>1064</v>
      </c>
    </row>
    <row r="328" spans="1:7" hidden="1" x14ac:dyDescent="0.25">
      <c r="A328" s="67">
        <v>780587</v>
      </c>
      <c r="B328" s="67" t="s">
        <v>164</v>
      </c>
      <c r="C328" s="67"/>
      <c r="D328" s="67"/>
      <c r="E328" s="67" t="s">
        <v>596</v>
      </c>
      <c r="F328" s="67" t="s">
        <v>597</v>
      </c>
      <c r="G328" s="67" t="s">
        <v>1065</v>
      </c>
    </row>
    <row r="329" spans="1:7" hidden="1" x14ac:dyDescent="0.25">
      <c r="A329" s="67">
        <v>786734</v>
      </c>
      <c r="B329" s="67" t="s">
        <v>165</v>
      </c>
      <c r="C329" s="67"/>
      <c r="D329" s="67"/>
      <c r="E329" s="67" t="s">
        <v>598</v>
      </c>
      <c r="F329" s="67">
        <v>0</v>
      </c>
      <c r="G329" s="67" t="s">
        <v>1066</v>
      </c>
    </row>
    <row r="330" spans="1:7" hidden="1" x14ac:dyDescent="0.25">
      <c r="A330" s="67">
        <v>780588</v>
      </c>
      <c r="B330" s="67" t="s">
        <v>166</v>
      </c>
      <c r="C330" s="67"/>
      <c r="D330" s="67"/>
      <c r="E330" s="67" t="s">
        <v>599</v>
      </c>
      <c r="F330" s="67" t="s">
        <v>600</v>
      </c>
      <c r="G330" s="67" t="s">
        <v>1067</v>
      </c>
    </row>
    <row r="331" spans="1:7" hidden="1" x14ac:dyDescent="0.25">
      <c r="A331" s="67">
        <v>780589</v>
      </c>
      <c r="B331" s="67" t="s">
        <v>167</v>
      </c>
      <c r="C331" s="67"/>
      <c r="D331" s="67"/>
      <c r="E331" s="67" t="s">
        <v>601</v>
      </c>
      <c r="F331" s="67" t="s">
        <v>602</v>
      </c>
      <c r="G331" s="67" t="s">
        <v>1068</v>
      </c>
    </row>
    <row r="332" spans="1:7" hidden="1" x14ac:dyDescent="0.25">
      <c r="A332" s="67">
        <v>780590</v>
      </c>
      <c r="B332" s="67" t="s">
        <v>168</v>
      </c>
      <c r="C332" s="67"/>
      <c r="D332" s="67"/>
      <c r="E332" s="67" t="s">
        <v>603</v>
      </c>
      <c r="F332" s="67" t="s">
        <v>604</v>
      </c>
      <c r="G332" s="67" t="s">
        <v>1069</v>
      </c>
    </row>
    <row r="333" spans="1:7" hidden="1" x14ac:dyDescent="0.25">
      <c r="A333" s="67">
        <v>787003</v>
      </c>
      <c r="B333" s="67" t="s">
        <v>133</v>
      </c>
      <c r="C333" s="67"/>
      <c r="D333" s="67"/>
      <c r="E333" s="67"/>
      <c r="F333" s="67"/>
      <c r="G333" s="67" t="s">
        <v>1070</v>
      </c>
    </row>
    <row r="334" spans="1:7" hidden="1" x14ac:dyDescent="0.25">
      <c r="A334" s="67">
        <v>780591</v>
      </c>
      <c r="B334" s="67" t="s">
        <v>169</v>
      </c>
      <c r="C334" s="67"/>
      <c r="D334" s="67"/>
      <c r="E334" s="67" t="s">
        <v>605</v>
      </c>
      <c r="F334" s="67" t="s">
        <v>606</v>
      </c>
      <c r="G334" s="67" t="s">
        <v>1071</v>
      </c>
    </row>
    <row r="335" spans="1:7" hidden="1" x14ac:dyDescent="0.25">
      <c r="A335" s="67">
        <v>780592</v>
      </c>
      <c r="B335" s="67" t="s">
        <v>170</v>
      </c>
      <c r="C335" s="67"/>
      <c r="D335" s="67"/>
      <c r="E335" s="67" t="s">
        <v>607</v>
      </c>
      <c r="F335" s="67" t="s">
        <v>608</v>
      </c>
      <c r="G335" s="67" t="s">
        <v>1072</v>
      </c>
    </row>
    <row r="336" spans="1:7" hidden="1" x14ac:dyDescent="0.25">
      <c r="A336" s="67">
        <v>780593</v>
      </c>
      <c r="B336" s="67" t="s">
        <v>120</v>
      </c>
      <c r="C336" s="67"/>
      <c r="D336" s="67"/>
      <c r="E336" s="67" t="s">
        <v>609</v>
      </c>
      <c r="F336" s="67" t="s">
        <v>610</v>
      </c>
      <c r="G336" s="67" t="s">
        <v>1073</v>
      </c>
    </row>
    <row r="337" spans="1:7" hidden="1" x14ac:dyDescent="0.25">
      <c r="A337" s="67">
        <v>786730</v>
      </c>
      <c r="B337" s="67" t="s">
        <v>121</v>
      </c>
      <c r="C337" s="67"/>
      <c r="D337" s="67"/>
      <c r="E337" s="67" t="s">
        <v>611</v>
      </c>
      <c r="F337" s="67" t="s">
        <v>611</v>
      </c>
      <c r="G337" s="67" t="s">
        <v>1074</v>
      </c>
    </row>
    <row r="338" spans="1:7" hidden="1" x14ac:dyDescent="0.25">
      <c r="A338" s="67">
        <v>780594</v>
      </c>
      <c r="B338" s="67" t="s">
        <v>122</v>
      </c>
      <c r="C338" s="67"/>
      <c r="D338" s="67"/>
      <c r="E338" s="67" t="s">
        <v>612</v>
      </c>
      <c r="F338" s="67" t="s">
        <v>613</v>
      </c>
      <c r="G338" s="67" t="s">
        <v>1075</v>
      </c>
    </row>
    <row r="339" spans="1:7" hidden="1" x14ac:dyDescent="0.25">
      <c r="A339" s="67">
        <v>786755</v>
      </c>
      <c r="B339" s="67" t="s">
        <v>123</v>
      </c>
      <c r="C339" s="67"/>
      <c r="D339" s="67"/>
      <c r="E339" s="67" t="s">
        <v>614</v>
      </c>
      <c r="F339" s="67">
        <v>0</v>
      </c>
      <c r="G339" s="67" t="s">
        <v>1076</v>
      </c>
    </row>
    <row r="340" spans="1:7" s="114" customFormat="1" hidden="1" x14ac:dyDescent="0.25">
      <c r="A340" s="114">
        <v>820798</v>
      </c>
      <c r="B340" s="114" t="s">
        <v>1236</v>
      </c>
      <c r="C340" s="115"/>
      <c r="D340" s="115"/>
      <c r="E340" s="115" t="s">
        <v>614</v>
      </c>
      <c r="F340" s="115" t="s">
        <v>1241</v>
      </c>
      <c r="G340" s="115" t="s">
        <v>1243</v>
      </c>
    </row>
    <row r="341" spans="1:7" hidden="1" x14ac:dyDescent="0.25">
      <c r="A341" s="67">
        <v>780595</v>
      </c>
      <c r="B341" s="67" t="s">
        <v>124</v>
      </c>
      <c r="C341" s="67"/>
      <c r="D341" s="67"/>
      <c r="E341" s="67" t="s">
        <v>615</v>
      </c>
      <c r="F341" s="67" t="s">
        <v>616</v>
      </c>
      <c r="G341" s="67" t="s">
        <v>1077</v>
      </c>
    </row>
    <row r="342" spans="1:7" hidden="1" x14ac:dyDescent="0.25">
      <c r="A342" s="67">
        <v>780596</v>
      </c>
      <c r="B342" s="67" t="s">
        <v>125</v>
      </c>
      <c r="C342" s="67"/>
      <c r="D342" s="67"/>
      <c r="E342" s="67" t="s">
        <v>617</v>
      </c>
      <c r="F342" s="67" t="s">
        <v>618</v>
      </c>
      <c r="G342" s="67" t="s">
        <v>1078</v>
      </c>
    </row>
    <row r="343" spans="1:7" hidden="1" x14ac:dyDescent="0.25">
      <c r="A343" s="67">
        <v>780597</v>
      </c>
      <c r="B343" s="67" t="s">
        <v>126</v>
      </c>
      <c r="C343" s="67"/>
      <c r="D343" s="67"/>
      <c r="E343" s="67" t="s">
        <v>619</v>
      </c>
      <c r="F343" s="67" t="s">
        <v>620</v>
      </c>
      <c r="G343" s="67" t="s">
        <v>1079</v>
      </c>
    </row>
    <row r="344" spans="1:7" hidden="1" x14ac:dyDescent="0.25">
      <c r="A344" s="67">
        <v>787004</v>
      </c>
      <c r="B344" s="67" t="s">
        <v>127</v>
      </c>
      <c r="C344" s="67"/>
      <c r="D344" s="67"/>
      <c r="E344" s="67" t="s">
        <v>621</v>
      </c>
      <c r="F344" s="67">
        <v>0</v>
      </c>
      <c r="G344" s="67" t="s">
        <v>1080</v>
      </c>
    </row>
    <row r="345" spans="1:7" hidden="1" x14ac:dyDescent="0.25">
      <c r="A345" s="67">
        <v>780598</v>
      </c>
      <c r="B345" s="67" t="s">
        <v>128</v>
      </c>
      <c r="C345" s="67"/>
      <c r="D345" s="67"/>
      <c r="E345" s="67" t="s">
        <v>622</v>
      </c>
      <c r="F345" s="67" t="s">
        <v>623</v>
      </c>
      <c r="G345" s="67" t="s">
        <v>1081</v>
      </c>
    </row>
    <row r="346" spans="1:7" hidden="1" x14ac:dyDescent="0.25">
      <c r="A346" s="67">
        <v>780599</v>
      </c>
      <c r="B346" s="67" t="s">
        <v>129</v>
      </c>
      <c r="C346" s="67"/>
      <c r="D346" s="67"/>
      <c r="E346" s="67" t="s">
        <v>624</v>
      </c>
      <c r="F346" s="67" t="s">
        <v>625</v>
      </c>
      <c r="G346" s="67" t="s">
        <v>1082</v>
      </c>
    </row>
    <row r="347" spans="1:7" hidden="1" x14ac:dyDescent="0.25">
      <c r="A347" s="67">
        <v>786179</v>
      </c>
      <c r="B347" s="67" t="s">
        <v>171</v>
      </c>
      <c r="C347" s="67"/>
      <c r="D347" s="67"/>
      <c r="E347" s="67" t="s">
        <v>626</v>
      </c>
      <c r="F347" s="67" t="s">
        <v>627</v>
      </c>
      <c r="G347" s="67" t="s">
        <v>1083</v>
      </c>
    </row>
    <row r="348" spans="1:7" hidden="1" x14ac:dyDescent="0.25">
      <c r="A348" s="67">
        <v>786221</v>
      </c>
      <c r="B348" s="67" t="s">
        <v>172</v>
      </c>
      <c r="C348" s="67"/>
      <c r="D348" s="67"/>
      <c r="E348" s="67" t="s">
        <v>628</v>
      </c>
      <c r="F348" s="67" t="s">
        <v>629</v>
      </c>
      <c r="G348" s="67" t="s">
        <v>1084</v>
      </c>
    </row>
    <row r="349" spans="1:7" s="114" customFormat="1" hidden="1" x14ac:dyDescent="0.25">
      <c r="A349" s="114">
        <v>820799</v>
      </c>
      <c r="B349" s="114" t="s">
        <v>1237</v>
      </c>
      <c r="C349" s="115"/>
      <c r="D349" s="115"/>
      <c r="E349" s="114" t="s">
        <v>1239</v>
      </c>
      <c r="F349" s="115" t="s">
        <v>1242</v>
      </c>
      <c r="G349" s="115" t="s">
        <v>1244</v>
      </c>
    </row>
    <row r="350" spans="1:7" hidden="1" x14ac:dyDescent="0.25">
      <c r="A350" s="67">
        <v>786180</v>
      </c>
      <c r="B350" s="67" t="s">
        <v>173</v>
      </c>
      <c r="C350" s="67"/>
      <c r="D350" s="67"/>
      <c r="E350" s="67" t="s">
        <v>630</v>
      </c>
      <c r="F350" s="67" t="s">
        <v>631</v>
      </c>
      <c r="G350" s="67" t="s">
        <v>1085</v>
      </c>
    </row>
    <row r="351" spans="1:7" hidden="1" x14ac:dyDescent="0.25">
      <c r="A351" s="67">
        <v>786181</v>
      </c>
      <c r="B351" s="67" t="s">
        <v>174</v>
      </c>
      <c r="C351" s="67"/>
      <c r="D351" s="67"/>
      <c r="E351" s="67" t="s">
        <v>632</v>
      </c>
      <c r="F351" s="67" t="s">
        <v>633</v>
      </c>
      <c r="G351" s="67" t="s">
        <v>1086</v>
      </c>
    </row>
    <row r="352" spans="1:7" hidden="1" x14ac:dyDescent="0.25">
      <c r="A352" s="67">
        <v>786182</v>
      </c>
      <c r="B352" s="67" t="s">
        <v>175</v>
      </c>
      <c r="C352" s="67"/>
      <c r="D352" s="67"/>
      <c r="E352" s="67" t="s">
        <v>634</v>
      </c>
      <c r="F352" s="67" t="s">
        <v>635</v>
      </c>
      <c r="G352" s="67" t="s">
        <v>1087</v>
      </c>
    </row>
    <row r="353" spans="1:7" hidden="1" x14ac:dyDescent="0.25">
      <c r="A353" s="67">
        <v>786222</v>
      </c>
      <c r="B353" s="67" t="s">
        <v>176</v>
      </c>
      <c r="C353" s="67"/>
      <c r="D353" s="67"/>
      <c r="E353" s="67" t="s">
        <v>636</v>
      </c>
      <c r="F353" s="67" t="s">
        <v>637</v>
      </c>
      <c r="G353" s="67" t="s">
        <v>1088</v>
      </c>
    </row>
    <row r="354" spans="1:7" hidden="1" x14ac:dyDescent="0.25">
      <c r="A354" s="67">
        <v>786183</v>
      </c>
      <c r="B354" s="67" t="s">
        <v>177</v>
      </c>
      <c r="C354" s="67"/>
      <c r="D354" s="67"/>
      <c r="E354" s="67" t="s">
        <v>638</v>
      </c>
      <c r="F354" s="67" t="s">
        <v>639</v>
      </c>
      <c r="G354" s="67" t="s">
        <v>1089</v>
      </c>
    </row>
    <row r="355" spans="1:7" hidden="1" x14ac:dyDescent="0.25">
      <c r="A355" s="67">
        <v>786184</v>
      </c>
      <c r="B355" s="67" t="s">
        <v>178</v>
      </c>
      <c r="C355" s="67"/>
      <c r="D355" s="67"/>
      <c r="E355" s="67" t="s">
        <v>640</v>
      </c>
      <c r="F355" s="67" t="s">
        <v>641</v>
      </c>
      <c r="G355" s="67" t="s">
        <v>1090</v>
      </c>
    </row>
    <row r="356" spans="1:7" hidden="1" x14ac:dyDescent="0.25">
      <c r="A356" s="67">
        <v>786225</v>
      </c>
      <c r="B356" s="67" t="s">
        <v>179</v>
      </c>
      <c r="C356" s="67"/>
      <c r="D356" s="67"/>
      <c r="E356" s="67" t="s">
        <v>642</v>
      </c>
      <c r="F356" s="67" t="s">
        <v>643</v>
      </c>
      <c r="G356" s="67" t="s">
        <v>1091</v>
      </c>
    </row>
    <row r="357" spans="1:7" hidden="1" x14ac:dyDescent="0.25">
      <c r="A357" s="67">
        <v>786220</v>
      </c>
      <c r="B357" s="67" t="s">
        <v>180</v>
      </c>
      <c r="C357" s="67"/>
      <c r="D357" s="67"/>
      <c r="E357" s="67" t="s">
        <v>644</v>
      </c>
      <c r="F357" s="67" t="s">
        <v>645</v>
      </c>
      <c r="G357" s="67" t="s">
        <v>1092</v>
      </c>
    </row>
    <row r="358" spans="1:7" hidden="1" x14ac:dyDescent="0.25">
      <c r="A358" s="67">
        <v>786226</v>
      </c>
      <c r="B358" s="67" t="s">
        <v>181</v>
      </c>
      <c r="C358" s="67"/>
      <c r="D358" s="67"/>
      <c r="E358" s="67" t="s">
        <v>646</v>
      </c>
      <c r="F358" s="67" t="s">
        <v>647</v>
      </c>
      <c r="G358" s="67" t="s">
        <v>1093</v>
      </c>
    </row>
    <row r="359" spans="1:7" hidden="1" x14ac:dyDescent="0.25">
      <c r="A359" s="67">
        <v>786227</v>
      </c>
      <c r="B359" s="67" t="s">
        <v>182</v>
      </c>
      <c r="C359" s="67"/>
      <c r="D359" s="67"/>
      <c r="E359" s="67" t="s">
        <v>648</v>
      </c>
      <c r="F359" s="67" t="s">
        <v>649</v>
      </c>
      <c r="G359" s="67" t="s">
        <v>1094</v>
      </c>
    </row>
    <row r="360" spans="1:7" hidden="1" x14ac:dyDescent="0.25">
      <c r="A360" s="67">
        <v>786228</v>
      </c>
      <c r="B360" s="67" t="s">
        <v>183</v>
      </c>
      <c r="C360" s="67"/>
      <c r="D360" s="67"/>
      <c r="E360" s="67" t="s">
        <v>650</v>
      </c>
      <c r="F360" s="67" t="s">
        <v>651</v>
      </c>
      <c r="G360" s="67" t="s">
        <v>1095</v>
      </c>
    </row>
    <row r="361" spans="1:7" hidden="1" x14ac:dyDescent="0.25">
      <c r="A361" s="67">
        <v>786229</v>
      </c>
      <c r="B361" s="67" t="s">
        <v>184</v>
      </c>
      <c r="C361" s="67"/>
      <c r="D361" s="67"/>
      <c r="E361" s="67" t="s">
        <v>652</v>
      </c>
      <c r="F361" s="67" t="s">
        <v>653</v>
      </c>
      <c r="G361" s="67" t="s">
        <v>1096</v>
      </c>
    </row>
    <row r="362" spans="1:7" hidden="1" x14ac:dyDescent="0.25">
      <c r="A362" s="67">
        <v>786230</v>
      </c>
      <c r="B362" s="67" t="s">
        <v>185</v>
      </c>
      <c r="C362" s="67"/>
      <c r="D362" s="67"/>
      <c r="E362" s="67" t="s">
        <v>654</v>
      </c>
      <c r="F362" s="67" t="s">
        <v>655</v>
      </c>
      <c r="G362" s="67" t="s">
        <v>1097</v>
      </c>
    </row>
    <row r="363" spans="1:7" hidden="1" x14ac:dyDescent="0.25">
      <c r="A363" s="67">
        <v>786219</v>
      </c>
      <c r="B363" s="67" t="s">
        <v>186</v>
      </c>
      <c r="C363" s="67"/>
      <c r="D363" s="67"/>
      <c r="E363" s="67" t="s">
        <v>656</v>
      </c>
      <c r="F363" s="67" t="s">
        <v>657</v>
      </c>
      <c r="G363" s="67" t="s">
        <v>1098</v>
      </c>
    </row>
    <row r="364" spans="1:7" s="98" customFormat="1" hidden="1" x14ac:dyDescent="0.25">
      <c r="A364" s="116">
        <v>799005</v>
      </c>
      <c r="B364" s="116" t="s">
        <v>1351</v>
      </c>
      <c r="C364" s="67"/>
      <c r="D364" s="67"/>
      <c r="E364" s="67"/>
      <c r="F364" s="67"/>
      <c r="G364" s="67"/>
    </row>
    <row r="365" spans="1:7" s="98" customFormat="1" hidden="1" x14ac:dyDescent="0.25">
      <c r="A365" s="116">
        <v>798990</v>
      </c>
      <c r="B365" s="116" t="s">
        <v>1352</v>
      </c>
      <c r="C365" s="67"/>
      <c r="D365" s="67"/>
      <c r="E365" s="67"/>
      <c r="F365" s="67"/>
      <c r="G365" s="67"/>
    </row>
    <row r="366" spans="1:7" s="98" customFormat="1" hidden="1" x14ac:dyDescent="0.25">
      <c r="A366" s="116">
        <v>798991</v>
      </c>
      <c r="B366" s="116" t="s">
        <v>1353</v>
      </c>
      <c r="C366" s="67"/>
      <c r="D366" s="67"/>
      <c r="E366" s="67"/>
      <c r="F366" s="67"/>
      <c r="G366" s="67"/>
    </row>
    <row r="367" spans="1:7" s="98" customFormat="1" hidden="1" x14ac:dyDescent="0.25">
      <c r="A367" s="127">
        <v>798992</v>
      </c>
      <c r="B367" s="127" t="s">
        <v>1354</v>
      </c>
      <c r="C367" s="67"/>
      <c r="D367" s="67"/>
      <c r="E367" s="67"/>
      <c r="F367" s="67"/>
      <c r="G367" s="67"/>
    </row>
    <row r="368" spans="1:7" s="98" customFormat="1" hidden="1" x14ac:dyDescent="0.25">
      <c r="A368" s="127">
        <v>798993</v>
      </c>
      <c r="B368" s="127" t="s">
        <v>1355</v>
      </c>
      <c r="C368" s="67"/>
      <c r="D368" s="67"/>
      <c r="E368" s="67"/>
      <c r="F368" s="67"/>
      <c r="G368" s="67"/>
    </row>
    <row r="369" spans="1:7" s="98" customFormat="1" hidden="1" x14ac:dyDescent="0.25">
      <c r="A369" s="127">
        <v>798994</v>
      </c>
      <c r="B369" s="127" t="s">
        <v>1356</v>
      </c>
      <c r="C369" s="67"/>
      <c r="D369" s="67"/>
      <c r="E369" s="67"/>
      <c r="F369" s="67"/>
      <c r="G369" s="67"/>
    </row>
    <row r="370" spans="1:7" hidden="1" x14ac:dyDescent="0.25">
      <c r="A370" s="67">
        <v>494472</v>
      </c>
      <c r="B370" s="67" t="s">
        <v>187</v>
      </c>
      <c r="C370" s="67"/>
      <c r="D370" s="67"/>
      <c r="E370" s="67" t="s">
        <v>658</v>
      </c>
      <c r="F370" s="67" t="s">
        <v>659</v>
      </c>
      <c r="G370" s="67" t="s">
        <v>1099</v>
      </c>
    </row>
    <row r="371" spans="1:7" hidden="1" x14ac:dyDescent="0.25">
      <c r="A371" s="67">
        <v>623221</v>
      </c>
      <c r="B371" s="67" t="s">
        <v>134</v>
      </c>
      <c r="C371" s="67"/>
      <c r="D371" s="67"/>
      <c r="E371" s="67"/>
      <c r="F371" s="67"/>
      <c r="G371" s="67" t="s">
        <v>1100</v>
      </c>
    </row>
    <row r="372" spans="1:7" hidden="1" x14ac:dyDescent="0.25">
      <c r="A372" s="67">
        <v>494473</v>
      </c>
      <c r="B372" s="67" t="s">
        <v>188</v>
      </c>
      <c r="C372" s="67"/>
      <c r="D372" s="67"/>
      <c r="E372" s="67" t="s">
        <v>660</v>
      </c>
      <c r="F372" s="67" t="s">
        <v>661</v>
      </c>
      <c r="G372" s="67" t="s">
        <v>1101</v>
      </c>
    </row>
    <row r="373" spans="1:7" hidden="1" x14ac:dyDescent="0.25">
      <c r="A373" s="67">
        <v>614625</v>
      </c>
      <c r="B373" s="67" t="s">
        <v>189</v>
      </c>
      <c r="C373" s="67"/>
      <c r="D373" s="67"/>
      <c r="E373" s="67" t="s">
        <v>662</v>
      </c>
      <c r="F373" s="67" t="s">
        <v>662</v>
      </c>
      <c r="G373" s="67" t="s">
        <v>1102</v>
      </c>
    </row>
    <row r="374" spans="1:7" hidden="1" x14ac:dyDescent="0.25">
      <c r="A374" s="67">
        <v>494474</v>
      </c>
      <c r="B374" s="67" t="s">
        <v>190</v>
      </c>
      <c r="C374" s="67"/>
      <c r="D374" s="67"/>
      <c r="E374" s="67" t="s">
        <v>663</v>
      </c>
      <c r="F374" s="67" t="s">
        <v>664</v>
      </c>
      <c r="G374" s="67" t="s">
        <v>1103</v>
      </c>
    </row>
    <row r="375" spans="1:7" hidden="1" x14ac:dyDescent="0.25">
      <c r="A375" s="67">
        <v>605551</v>
      </c>
      <c r="B375" s="67" t="s">
        <v>342</v>
      </c>
      <c r="C375" s="67"/>
      <c r="D375" s="67"/>
      <c r="E375" s="67" t="s">
        <v>665</v>
      </c>
      <c r="F375" s="67" t="s">
        <v>666</v>
      </c>
      <c r="G375" s="67" t="s">
        <v>1104</v>
      </c>
    </row>
    <row r="376" spans="1:7" hidden="1" x14ac:dyDescent="0.25">
      <c r="A376" s="67">
        <v>792184</v>
      </c>
      <c r="B376" s="67" t="s">
        <v>326</v>
      </c>
      <c r="C376" s="67"/>
      <c r="D376" s="67"/>
      <c r="E376" s="67" t="s">
        <v>667</v>
      </c>
      <c r="F376" s="67">
        <v>0</v>
      </c>
      <c r="G376" s="67" t="s">
        <v>1105</v>
      </c>
    </row>
    <row r="377" spans="1:7" hidden="1" x14ac:dyDescent="0.25">
      <c r="A377" s="67">
        <v>817180</v>
      </c>
      <c r="B377" s="67" t="s">
        <v>836</v>
      </c>
      <c r="C377" s="67"/>
      <c r="D377" s="67"/>
      <c r="E377" s="67" t="s">
        <v>667</v>
      </c>
      <c r="F377" s="67" t="s">
        <v>765</v>
      </c>
      <c r="G377" s="67" t="s">
        <v>1106</v>
      </c>
    </row>
    <row r="378" spans="1:7" s="98" customFormat="1" hidden="1" x14ac:dyDescent="0.25">
      <c r="A378" s="67"/>
      <c r="B378" s="67"/>
      <c r="C378" s="67"/>
      <c r="D378" s="67"/>
      <c r="E378" s="67"/>
      <c r="F378" s="67"/>
      <c r="G378" s="67"/>
    </row>
    <row r="379" spans="1:7" s="98" customFormat="1" hidden="1" x14ac:dyDescent="0.25">
      <c r="A379" s="67">
        <v>820028</v>
      </c>
      <c r="B379" s="67" t="s">
        <v>1156</v>
      </c>
      <c r="C379" s="67"/>
      <c r="D379" s="67"/>
      <c r="E379" s="67" t="s">
        <v>1168</v>
      </c>
      <c r="F379" s="67" t="s">
        <v>1169</v>
      </c>
      <c r="G379" s="67" t="s">
        <v>1170</v>
      </c>
    </row>
    <row r="380" spans="1:7" s="98" customFormat="1" hidden="1" x14ac:dyDescent="0.25">
      <c r="A380" s="67">
        <v>820029</v>
      </c>
      <c r="B380" s="67" t="s">
        <v>1157</v>
      </c>
      <c r="C380" s="67"/>
      <c r="D380" s="67"/>
      <c r="E380" s="67" t="s">
        <v>1198</v>
      </c>
      <c r="F380" s="67" t="s">
        <v>1171</v>
      </c>
      <c r="G380" s="67" t="s">
        <v>1199</v>
      </c>
    </row>
    <row r="381" spans="1:7" s="98" customFormat="1" hidden="1" x14ac:dyDescent="0.25">
      <c r="A381" s="67">
        <v>820030</v>
      </c>
      <c r="B381" s="67" t="s">
        <v>1158</v>
      </c>
      <c r="C381" s="67"/>
      <c r="D381" s="67"/>
      <c r="E381" s="67" t="s">
        <v>1172</v>
      </c>
      <c r="F381" s="67" t="s">
        <v>1173</v>
      </c>
      <c r="G381" s="67" t="s">
        <v>1200</v>
      </c>
    </row>
    <row r="382" spans="1:7" s="98" customFormat="1" hidden="1" x14ac:dyDescent="0.25">
      <c r="A382" s="67">
        <v>820031</v>
      </c>
      <c r="B382" s="67" t="s">
        <v>1159</v>
      </c>
      <c r="C382" s="67"/>
      <c r="D382" s="67"/>
      <c r="E382" s="67" t="s">
        <v>1174</v>
      </c>
      <c r="F382" s="67" t="s">
        <v>1175</v>
      </c>
      <c r="G382" s="67" t="s">
        <v>1201</v>
      </c>
    </row>
    <row r="383" spans="1:7" s="98" customFormat="1" hidden="1" x14ac:dyDescent="0.25">
      <c r="A383" s="67">
        <v>820032</v>
      </c>
      <c r="B383" s="67" t="s">
        <v>1160</v>
      </c>
      <c r="C383" s="67"/>
      <c r="D383" s="67"/>
      <c r="E383" s="67" t="s">
        <v>1176</v>
      </c>
      <c r="F383" s="67" t="s">
        <v>1177</v>
      </c>
      <c r="G383" s="67" t="s">
        <v>1202</v>
      </c>
    </row>
    <row r="384" spans="1:7" s="98" customFormat="1" hidden="1" x14ac:dyDescent="0.25">
      <c r="A384" s="67">
        <v>820033</v>
      </c>
      <c r="B384" s="67" t="s">
        <v>1161</v>
      </c>
      <c r="C384" s="67"/>
      <c r="D384" s="67"/>
      <c r="E384" s="67" t="s">
        <v>1178</v>
      </c>
      <c r="F384" s="67" t="s">
        <v>1179</v>
      </c>
      <c r="G384" s="67" t="s">
        <v>1180</v>
      </c>
    </row>
    <row r="385" spans="1:7" s="98" customFormat="1" hidden="1" x14ac:dyDescent="0.25">
      <c r="A385" s="67">
        <v>820034</v>
      </c>
      <c r="B385" s="67" t="s">
        <v>1162</v>
      </c>
      <c r="C385" s="67"/>
      <c r="D385" s="67"/>
      <c r="E385" s="67" t="s">
        <v>1181</v>
      </c>
      <c r="F385" s="67" t="s">
        <v>1182</v>
      </c>
      <c r="G385" s="67" t="s">
        <v>1183</v>
      </c>
    </row>
    <row r="386" spans="1:7" s="98" customFormat="1" hidden="1" x14ac:dyDescent="0.25">
      <c r="A386" s="67">
        <v>820055</v>
      </c>
      <c r="B386" s="67" t="s">
        <v>1163</v>
      </c>
      <c r="C386" s="67"/>
      <c r="D386" s="67"/>
      <c r="E386" s="67" t="s">
        <v>1184</v>
      </c>
      <c r="F386" s="67" t="s">
        <v>1185</v>
      </c>
      <c r="G386" s="67" t="s">
        <v>1186</v>
      </c>
    </row>
    <row r="387" spans="1:7" s="98" customFormat="1" hidden="1" x14ac:dyDescent="0.25">
      <c r="A387" s="67">
        <v>820070</v>
      </c>
      <c r="B387" s="67" t="s">
        <v>1164</v>
      </c>
      <c r="C387" s="67"/>
      <c r="D387" s="67"/>
      <c r="E387" s="67" t="s">
        <v>1195</v>
      </c>
      <c r="F387" s="67" t="s">
        <v>1196</v>
      </c>
      <c r="G387" s="67" t="s">
        <v>1197</v>
      </c>
    </row>
    <row r="388" spans="1:7" s="98" customFormat="1" hidden="1" x14ac:dyDescent="0.25">
      <c r="A388" s="67">
        <v>820057</v>
      </c>
      <c r="B388" s="67" t="s">
        <v>1165</v>
      </c>
      <c r="C388" s="67"/>
      <c r="D388" s="67"/>
      <c r="E388" s="67" t="s">
        <v>1187</v>
      </c>
      <c r="F388" s="67" t="s">
        <v>1188</v>
      </c>
      <c r="G388" s="67" t="s">
        <v>1189</v>
      </c>
    </row>
    <row r="389" spans="1:7" s="98" customFormat="1" hidden="1" x14ac:dyDescent="0.25">
      <c r="A389" s="67">
        <v>820058</v>
      </c>
      <c r="B389" s="67" t="s">
        <v>1166</v>
      </c>
      <c r="C389" s="67"/>
      <c r="D389" s="67"/>
      <c r="E389" s="67" t="s">
        <v>1190</v>
      </c>
      <c r="F389" s="67" t="s">
        <v>1191</v>
      </c>
      <c r="G389" s="67" t="s">
        <v>1192</v>
      </c>
    </row>
    <row r="390" spans="1:7" s="98" customFormat="1" hidden="1" x14ac:dyDescent="0.25">
      <c r="A390" s="67">
        <v>820059</v>
      </c>
      <c r="B390" s="67" t="s">
        <v>1167</v>
      </c>
      <c r="C390" s="67"/>
      <c r="D390" s="67"/>
      <c r="E390" s="67" t="s">
        <v>1193</v>
      </c>
      <c r="F390" s="67" t="s">
        <v>1194</v>
      </c>
      <c r="G390" s="67" t="s">
        <v>1203</v>
      </c>
    </row>
    <row r="391" spans="1:7" s="98" customFormat="1" hidden="1" x14ac:dyDescent="0.25">
      <c r="A391" s="67"/>
      <c r="B391" s="67"/>
      <c r="C391" s="67"/>
      <c r="D391" s="67"/>
      <c r="E391" s="67"/>
      <c r="F391" s="67"/>
      <c r="G391" s="67"/>
    </row>
    <row r="392" spans="1:7" s="98" customFormat="1" hidden="1" x14ac:dyDescent="0.25">
      <c r="A392" s="67">
        <v>494466</v>
      </c>
      <c r="B392" s="67" t="s">
        <v>1125</v>
      </c>
      <c r="C392" s="67"/>
      <c r="D392" s="67"/>
      <c r="E392" s="67" t="s">
        <v>1129</v>
      </c>
      <c r="F392" s="67" t="s">
        <v>1133</v>
      </c>
      <c r="G392" s="67" t="s">
        <v>1137</v>
      </c>
    </row>
    <row r="393" spans="1:7" s="98" customFormat="1" hidden="1" x14ac:dyDescent="0.25">
      <c r="A393" s="67">
        <v>228260</v>
      </c>
      <c r="B393" s="67" t="s">
        <v>1126</v>
      </c>
      <c r="C393" s="67"/>
      <c r="D393" s="67"/>
      <c r="E393" s="67" t="s">
        <v>1130</v>
      </c>
      <c r="F393" s="67" t="s">
        <v>1134</v>
      </c>
      <c r="G393" s="67" t="s">
        <v>1138</v>
      </c>
    </row>
    <row r="394" spans="1:7" s="98" customFormat="1" hidden="1" x14ac:dyDescent="0.25">
      <c r="A394" s="67">
        <v>494467</v>
      </c>
      <c r="B394" s="67" t="s">
        <v>1127</v>
      </c>
      <c r="C394" s="67"/>
      <c r="D394" s="67"/>
      <c r="E394" s="67" t="s">
        <v>1131</v>
      </c>
      <c r="F394" s="67" t="s">
        <v>1135</v>
      </c>
      <c r="G394" s="67" t="s">
        <v>1139</v>
      </c>
    </row>
    <row r="395" spans="1:7" s="98" customFormat="1" hidden="1" x14ac:dyDescent="0.25">
      <c r="A395" s="67">
        <v>258952</v>
      </c>
      <c r="B395" s="67" t="s">
        <v>1128</v>
      </c>
      <c r="C395" s="67"/>
      <c r="D395" s="67"/>
      <c r="E395" s="67" t="s">
        <v>1132</v>
      </c>
      <c r="F395" s="67" t="s">
        <v>1136</v>
      </c>
      <c r="G395" s="67" t="s">
        <v>1140</v>
      </c>
    </row>
    <row r="396" spans="1:7" s="98" customFormat="1" hidden="1" x14ac:dyDescent="0.25">
      <c r="A396" s="67"/>
      <c r="B396" s="67"/>
      <c r="C396" s="67"/>
      <c r="D396" s="67"/>
      <c r="E396" s="67"/>
      <c r="F396" s="67"/>
      <c r="G396" s="67"/>
    </row>
    <row r="397" spans="1:7" hidden="1" x14ac:dyDescent="0.25">
      <c r="A397" s="67"/>
      <c r="B397" s="67"/>
      <c r="C397" s="67"/>
      <c r="D397" s="67"/>
      <c r="E397" s="67"/>
      <c r="F397" s="67"/>
      <c r="G397" s="67"/>
    </row>
    <row r="398" spans="1:7" hidden="1" x14ac:dyDescent="0.25">
      <c r="A398" s="67">
        <v>799034</v>
      </c>
      <c r="B398" s="67" t="s">
        <v>296</v>
      </c>
      <c r="C398" s="67"/>
      <c r="D398" s="67"/>
      <c r="E398" s="67" t="s">
        <v>668</v>
      </c>
      <c r="F398" s="67" t="s">
        <v>669</v>
      </c>
      <c r="G398" s="67" t="s">
        <v>1107</v>
      </c>
    </row>
    <row r="399" spans="1:7" s="98" customFormat="1" hidden="1" x14ac:dyDescent="0.25">
      <c r="A399" s="67">
        <v>799033</v>
      </c>
      <c r="B399" s="67" t="s">
        <v>1295</v>
      </c>
      <c r="C399" s="67"/>
      <c r="D399" s="67"/>
      <c r="E399" s="67" t="s">
        <v>1347</v>
      </c>
      <c r="F399" s="67" t="s">
        <v>1349</v>
      </c>
      <c r="G399" s="67">
        <v>0</v>
      </c>
    </row>
    <row r="400" spans="1:7" hidden="1" x14ac:dyDescent="0.25">
      <c r="A400" s="67">
        <v>799032</v>
      </c>
      <c r="B400" s="67" t="s">
        <v>297</v>
      </c>
      <c r="C400" s="67"/>
      <c r="D400" s="67"/>
      <c r="E400" s="67" t="s">
        <v>670</v>
      </c>
      <c r="F400" s="67" t="s">
        <v>671</v>
      </c>
      <c r="G400" s="67" t="s">
        <v>1108</v>
      </c>
    </row>
    <row r="401" spans="1:7" s="98" customFormat="1" hidden="1" x14ac:dyDescent="0.25">
      <c r="A401" s="67">
        <v>799031</v>
      </c>
      <c r="B401" s="67" t="s">
        <v>1296</v>
      </c>
      <c r="C401" s="67"/>
      <c r="D401" s="67"/>
      <c r="E401" s="67" t="s">
        <v>1348</v>
      </c>
      <c r="F401" s="67" t="s">
        <v>1350</v>
      </c>
      <c r="G401" s="67">
        <v>0</v>
      </c>
    </row>
    <row r="402" spans="1:7" hidden="1" x14ac:dyDescent="0.25">
      <c r="A402" s="67">
        <v>772626</v>
      </c>
      <c r="B402" s="67" t="s">
        <v>298</v>
      </c>
      <c r="C402" s="67"/>
      <c r="D402" s="67"/>
      <c r="E402" s="67" t="s">
        <v>672</v>
      </c>
      <c r="F402" s="67" t="s">
        <v>672</v>
      </c>
      <c r="G402" s="67" t="s">
        <v>1109</v>
      </c>
    </row>
    <row r="403" spans="1:7" hidden="1" x14ac:dyDescent="0.25">
      <c r="A403" s="67">
        <v>811973</v>
      </c>
      <c r="B403" s="67" t="s">
        <v>304</v>
      </c>
      <c r="C403" s="67"/>
      <c r="D403" s="67"/>
      <c r="E403" s="67" t="s">
        <v>673</v>
      </c>
      <c r="F403" s="67" t="s">
        <v>674</v>
      </c>
      <c r="G403" s="67" t="s">
        <v>1110</v>
      </c>
    </row>
    <row r="404" spans="1:7" hidden="1" x14ac:dyDescent="0.25">
      <c r="A404" s="67">
        <v>807972</v>
      </c>
      <c r="B404" s="67" t="s">
        <v>303</v>
      </c>
      <c r="C404" s="67"/>
      <c r="D404" s="67"/>
      <c r="E404" s="67" t="s">
        <v>675</v>
      </c>
      <c r="F404" s="67" t="s">
        <v>676</v>
      </c>
      <c r="G404" s="67" t="s">
        <v>1111</v>
      </c>
    </row>
    <row r="405" spans="1:7" s="98" customFormat="1" hidden="1" x14ac:dyDescent="0.25">
      <c r="A405" s="67">
        <v>809328</v>
      </c>
      <c r="B405" s="67" t="s">
        <v>841</v>
      </c>
      <c r="C405" s="67"/>
      <c r="D405" s="67"/>
      <c r="E405" s="67" t="s">
        <v>842</v>
      </c>
      <c r="F405" s="67" t="s">
        <v>676</v>
      </c>
      <c r="G405" s="67" t="s">
        <v>1115</v>
      </c>
    </row>
    <row r="406" spans="1:7" s="98" customFormat="1" hidden="1" x14ac:dyDescent="0.25">
      <c r="A406" s="67">
        <v>817229</v>
      </c>
      <c r="B406" s="67" t="s">
        <v>1294</v>
      </c>
      <c r="C406" s="67"/>
      <c r="D406" s="67"/>
      <c r="E406" s="67" t="e">
        <v>#N/A</v>
      </c>
      <c r="F406" s="67" t="e">
        <v>#N/A</v>
      </c>
      <c r="G406" s="67" t="e">
        <v>#N/A</v>
      </c>
    </row>
    <row r="407" spans="1:7" hidden="1" x14ac:dyDescent="0.25">
      <c r="A407" s="67">
        <v>258191</v>
      </c>
      <c r="B407" s="67" t="s">
        <v>299</v>
      </c>
      <c r="C407" s="67"/>
      <c r="D407" s="67"/>
      <c r="E407" s="67" t="s">
        <v>677</v>
      </c>
      <c r="F407" s="67" t="s">
        <v>678</v>
      </c>
      <c r="G407" s="67" t="s">
        <v>1112</v>
      </c>
    </row>
    <row r="408" spans="1:7" hidden="1" x14ac:dyDescent="0.25">
      <c r="A408" s="67">
        <v>740068</v>
      </c>
      <c r="B408" s="67" t="s">
        <v>300</v>
      </c>
      <c r="C408" s="67"/>
      <c r="D408" s="67"/>
      <c r="E408" s="67" t="s">
        <v>679</v>
      </c>
      <c r="F408" s="67" t="s">
        <v>680</v>
      </c>
      <c r="G408" s="67" t="s">
        <v>1113</v>
      </c>
    </row>
    <row r="409" spans="1:7" hidden="1" x14ac:dyDescent="0.25">
      <c r="A409" s="67">
        <v>373683</v>
      </c>
      <c r="B409" s="67" t="s">
        <v>319</v>
      </c>
      <c r="C409" s="67"/>
      <c r="D409" s="67"/>
      <c r="E409" s="67" t="s">
        <v>681</v>
      </c>
      <c r="F409" s="67" t="s">
        <v>682</v>
      </c>
      <c r="G409" s="67" t="s">
        <v>1114</v>
      </c>
    </row>
    <row r="410" spans="1:7" hidden="1" x14ac:dyDescent="0.25">
      <c r="A410" s="67"/>
      <c r="B410" s="67"/>
      <c r="C410" s="67"/>
      <c r="D410" s="67"/>
      <c r="E410" s="67"/>
      <c r="F410" s="67"/>
      <c r="G410" s="67" t="e">
        <v>#N/A</v>
      </c>
    </row>
    <row r="411" spans="1:7" hidden="1" x14ac:dyDescent="0.25">
      <c r="A411" s="67">
        <v>350401</v>
      </c>
      <c r="B411" s="67" t="s">
        <v>1218</v>
      </c>
      <c r="C411" s="67"/>
      <c r="D411" s="67"/>
      <c r="E411" s="67" t="s">
        <v>1219</v>
      </c>
      <c r="F411" s="67" t="s">
        <v>1220</v>
      </c>
      <c r="G411" s="67" t="s">
        <v>1221</v>
      </c>
    </row>
    <row r="412" spans="1:7" s="98" customFormat="1" hidden="1" x14ac:dyDescent="0.25">
      <c r="A412" s="67">
        <v>809520</v>
      </c>
      <c r="B412" s="67" t="s">
        <v>1312</v>
      </c>
      <c r="C412" s="67"/>
      <c r="D412" s="67"/>
      <c r="E412" s="67" t="s">
        <v>1323</v>
      </c>
      <c r="F412" s="67" t="s">
        <v>1339</v>
      </c>
      <c r="G412" s="67" t="s">
        <v>1367</v>
      </c>
    </row>
    <row r="413" spans="1:7" s="98" customFormat="1" hidden="1" x14ac:dyDescent="0.25">
      <c r="A413" s="131" t="s">
        <v>1249</v>
      </c>
      <c r="B413" s="67"/>
      <c r="C413" s="67"/>
      <c r="D413" s="67"/>
      <c r="E413" s="67"/>
      <c r="F413" s="67"/>
      <c r="G413" s="67"/>
    </row>
    <row r="414" spans="1:7" s="98" customFormat="1" hidden="1" x14ac:dyDescent="0.25">
      <c r="A414" s="116">
        <v>817052</v>
      </c>
      <c r="B414" s="67" t="s">
        <v>1250</v>
      </c>
      <c r="C414" s="67"/>
      <c r="D414" s="67"/>
      <c r="E414" s="67" t="s">
        <v>1315</v>
      </c>
      <c r="F414" s="67" t="s">
        <v>1331</v>
      </c>
      <c r="G414" s="67">
        <v>0</v>
      </c>
    </row>
    <row r="415" spans="1:7" s="98" customFormat="1" hidden="1" x14ac:dyDescent="0.25">
      <c r="A415" s="116">
        <v>821509</v>
      </c>
      <c r="B415" s="67" t="s">
        <v>1413</v>
      </c>
      <c r="C415" s="67"/>
      <c r="D415" s="67"/>
      <c r="E415" s="67" t="s">
        <v>1414</v>
      </c>
      <c r="F415" s="67" t="s">
        <v>1415</v>
      </c>
      <c r="G415" s="67"/>
    </row>
    <row r="416" spans="1:7" s="98" customFormat="1" hidden="1" x14ac:dyDescent="0.25">
      <c r="A416" s="67">
        <v>816147</v>
      </c>
      <c r="B416" s="67" t="s">
        <v>1309</v>
      </c>
      <c r="C416" s="67"/>
      <c r="D416" s="67"/>
      <c r="E416" s="67" t="s">
        <v>1316</v>
      </c>
      <c r="F416" s="67" t="s">
        <v>1332</v>
      </c>
      <c r="G416" s="67">
        <v>0</v>
      </c>
    </row>
    <row r="417" spans="1:7" s="98" customFormat="1" hidden="1" x14ac:dyDescent="0.25">
      <c r="A417" s="116">
        <v>822393</v>
      </c>
      <c r="B417" s="67" t="s">
        <v>1465</v>
      </c>
      <c r="C417" s="67"/>
      <c r="D417" s="67"/>
      <c r="E417" s="67" t="s">
        <v>1317</v>
      </c>
      <c r="F417" s="67" t="s">
        <v>1333</v>
      </c>
      <c r="G417" s="67">
        <v>0</v>
      </c>
    </row>
    <row r="418" spans="1:7" s="98" customFormat="1" hidden="1" x14ac:dyDescent="0.25">
      <c r="A418" s="116">
        <v>820048</v>
      </c>
      <c r="B418" s="67" t="s">
        <v>1411</v>
      </c>
      <c r="C418" s="67"/>
      <c r="D418" s="67"/>
      <c r="E418" s="67" t="s">
        <v>1357</v>
      </c>
      <c r="F418" s="67" t="s">
        <v>1412</v>
      </c>
      <c r="G418" s="67"/>
    </row>
    <row r="419" spans="1:7" s="98" customFormat="1" hidden="1" x14ac:dyDescent="0.25">
      <c r="A419" s="116">
        <v>762913</v>
      </c>
      <c r="B419" s="67" t="s">
        <v>1252</v>
      </c>
      <c r="C419" s="67"/>
      <c r="D419" s="67"/>
      <c r="E419" s="67" t="s">
        <v>469</v>
      </c>
      <c r="F419" s="67" t="s">
        <v>470</v>
      </c>
      <c r="G419" s="67" t="s">
        <v>1368</v>
      </c>
    </row>
    <row r="420" spans="1:7" s="98" customFormat="1" hidden="1" x14ac:dyDescent="0.25">
      <c r="A420" s="116">
        <v>762914</v>
      </c>
      <c r="B420" s="67" t="s">
        <v>1253</v>
      </c>
      <c r="C420" s="67"/>
      <c r="D420" s="67"/>
      <c r="E420" s="67" t="s">
        <v>471</v>
      </c>
      <c r="F420" s="67" t="s">
        <v>472</v>
      </c>
      <c r="G420" s="67" t="s">
        <v>1369</v>
      </c>
    </row>
    <row r="421" spans="1:7" s="98" customFormat="1" hidden="1" x14ac:dyDescent="0.25">
      <c r="A421" s="67">
        <v>763688</v>
      </c>
      <c r="B421" s="67" t="s">
        <v>1310</v>
      </c>
      <c r="C421" s="67"/>
      <c r="D421" s="67"/>
      <c r="E421" s="67" t="s">
        <v>1318</v>
      </c>
      <c r="F421" s="67" t="s">
        <v>1334</v>
      </c>
      <c r="G421" s="67">
        <v>0</v>
      </c>
    </row>
    <row r="422" spans="1:7" s="98" customFormat="1" hidden="1" x14ac:dyDescent="0.25">
      <c r="A422" s="67">
        <v>763689</v>
      </c>
      <c r="B422" s="67" t="s">
        <v>1311</v>
      </c>
      <c r="C422" s="67"/>
      <c r="D422" s="67"/>
      <c r="E422" s="67" t="s">
        <v>1319</v>
      </c>
      <c r="F422" s="67" t="s">
        <v>1335</v>
      </c>
      <c r="G422" s="67">
        <v>0</v>
      </c>
    </row>
    <row r="423" spans="1:7" s="98" customFormat="1" hidden="1" x14ac:dyDescent="0.25">
      <c r="A423" s="116">
        <v>810279</v>
      </c>
      <c r="B423" s="130" t="s">
        <v>1254</v>
      </c>
      <c r="C423" s="67" t="s">
        <v>1466</v>
      </c>
      <c r="D423" s="67"/>
      <c r="E423" s="67" t="s">
        <v>1320</v>
      </c>
      <c r="F423" s="67" t="s">
        <v>1336</v>
      </c>
      <c r="G423" s="67">
        <v>0</v>
      </c>
    </row>
    <row r="424" spans="1:7" s="98" customFormat="1" hidden="1" x14ac:dyDescent="0.25">
      <c r="A424" s="116">
        <v>828482</v>
      </c>
      <c r="B424" s="130" t="s">
        <v>1370</v>
      </c>
      <c r="C424" s="67" t="s">
        <v>1466</v>
      </c>
      <c r="D424" s="67"/>
      <c r="E424" s="67" t="s">
        <v>1372</v>
      </c>
      <c r="F424" s="67" t="s">
        <v>1374</v>
      </c>
      <c r="G424" s="67"/>
    </row>
    <row r="425" spans="1:7" s="98" customFormat="1" hidden="1" x14ac:dyDescent="0.25">
      <c r="A425" s="116">
        <v>828483</v>
      </c>
      <c r="B425" s="130" t="s">
        <v>1371</v>
      </c>
      <c r="C425" s="67" t="s">
        <v>1466</v>
      </c>
      <c r="D425" s="67"/>
      <c r="E425" s="67" t="s">
        <v>1373</v>
      </c>
      <c r="F425" s="67" t="s">
        <v>1375</v>
      </c>
      <c r="G425" s="67"/>
    </row>
    <row r="426" spans="1:7" s="98" customFormat="1" hidden="1" x14ac:dyDescent="0.25">
      <c r="A426" s="116">
        <v>809717</v>
      </c>
      <c r="B426" s="130" t="s">
        <v>1255</v>
      </c>
      <c r="C426" s="67" t="s">
        <v>1466</v>
      </c>
      <c r="D426" s="67"/>
      <c r="E426" s="67" t="s">
        <v>1321</v>
      </c>
      <c r="F426" s="67" t="s">
        <v>1337</v>
      </c>
      <c r="G426" s="67">
        <v>0</v>
      </c>
    </row>
    <row r="427" spans="1:7" s="98" customFormat="1" hidden="1" x14ac:dyDescent="0.25">
      <c r="A427" s="116">
        <v>819351</v>
      </c>
      <c r="B427" s="130" t="s">
        <v>1256</v>
      </c>
      <c r="C427" s="67" t="s">
        <v>1466</v>
      </c>
      <c r="D427" s="67"/>
      <c r="E427" s="67" t="s">
        <v>1322</v>
      </c>
      <c r="F427" s="67" t="s">
        <v>1338</v>
      </c>
      <c r="G427" s="67">
        <v>0</v>
      </c>
    </row>
    <row r="428" spans="1:7" s="98" customFormat="1" hidden="1" x14ac:dyDescent="0.25">
      <c r="A428" s="67">
        <v>809520</v>
      </c>
      <c r="B428" s="67" t="s">
        <v>1312</v>
      </c>
      <c r="C428" s="67"/>
      <c r="D428" s="67"/>
      <c r="E428" s="67" t="s">
        <v>1323</v>
      </c>
      <c r="F428" s="67" t="s">
        <v>1339</v>
      </c>
      <c r="G428" s="67">
        <v>0</v>
      </c>
    </row>
    <row r="429" spans="1:7" s="98" customFormat="1" hidden="1" x14ac:dyDescent="0.25">
      <c r="A429" s="67">
        <v>729179</v>
      </c>
      <c r="B429" s="67" t="s">
        <v>1257</v>
      </c>
      <c r="C429" s="67"/>
      <c r="D429" s="67"/>
      <c r="E429" s="67" t="e">
        <v>#N/A</v>
      </c>
      <c r="F429" s="67" t="e">
        <v>#N/A</v>
      </c>
      <c r="G429" s="67" t="e">
        <v>#N/A</v>
      </c>
    </row>
    <row r="430" spans="1:7" s="98" customFormat="1" hidden="1" x14ac:dyDescent="0.25">
      <c r="A430" s="67">
        <v>780647</v>
      </c>
      <c r="B430" s="67" t="s">
        <v>1313</v>
      </c>
      <c r="C430" s="67"/>
      <c r="D430" s="67"/>
      <c r="E430" s="67" t="s">
        <v>1324</v>
      </c>
      <c r="F430" s="67" t="s">
        <v>1340</v>
      </c>
      <c r="G430" s="67">
        <v>0</v>
      </c>
    </row>
    <row r="431" spans="1:7" s="98" customFormat="1" hidden="1" x14ac:dyDescent="0.25">
      <c r="A431" s="67">
        <v>798249</v>
      </c>
      <c r="B431" s="67" t="s">
        <v>1314</v>
      </c>
      <c r="C431" s="67"/>
      <c r="D431" s="67"/>
      <c r="E431" s="67" t="s">
        <v>1325</v>
      </c>
      <c r="F431" s="67" t="s">
        <v>1341</v>
      </c>
      <c r="G431" s="67">
        <v>0</v>
      </c>
    </row>
    <row r="432" spans="1:7" s="98" customFormat="1" hidden="1" x14ac:dyDescent="0.25">
      <c r="C432" s="67"/>
      <c r="D432" s="67"/>
      <c r="E432" s="67" t="e">
        <v>#N/A</v>
      </c>
      <c r="F432" s="67" t="e">
        <v>#N/A</v>
      </c>
      <c r="G432" s="67" t="e">
        <v>#N/A</v>
      </c>
    </row>
    <row r="433" spans="1:7" s="98" customFormat="1" hidden="1" x14ac:dyDescent="0.25">
      <c r="A433" s="116">
        <v>809658</v>
      </c>
      <c r="B433" s="67" t="s">
        <v>1259</v>
      </c>
      <c r="C433" s="67"/>
      <c r="D433" s="67"/>
      <c r="E433" s="67" t="s">
        <v>1326</v>
      </c>
      <c r="F433" s="67" t="s">
        <v>1342</v>
      </c>
      <c r="G433" s="67">
        <v>0</v>
      </c>
    </row>
    <row r="434" spans="1:7" s="98" customFormat="1" hidden="1" x14ac:dyDescent="0.25">
      <c r="A434" s="116">
        <v>809662</v>
      </c>
      <c r="B434" s="67" t="s">
        <v>1260</v>
      </c>
      <c r="C434" s="67"/>
      <c r="D434" s="67"/>
      <c r="E434" s="67" t="s">
        <v>1327</v>
      </c>
      <c r="F434" s="67" t="s">
        <v>1343</v>
      </c>
      <c r="G434" s="67">
        <v>0</v>
      </c>
    </row>
    <row r="435" spans="1:7" s="98" customFormat="1" hidden="1" x14ac:dyDescent="0.25">
      <c r="A435" s="116">
        <v>809668</v>
      </c>
      <c r="B435" s="67" t="s">
        <v>1261</v>
      </c>
      <c r="C435" s="67"/>
      <c r="D435" s="67"/>
      <c r="E435" s="67" t="s">
        <v>1328</v>
      </c>
      <c r="F435" s="67" t="s">
        <v>1344</v>
      </c>
      <c r="G435" s="67">
        <v>0</v>
      </c>
    </row>
    <row r="436" spans="1:7" s="98" customFormat="1" hidden="1" x14ac:dyDescent="0.25">
      <c r="A436" s="116">
        <v>809669</v>
      </c>
      <c r="B436" s="67" t="s">
        <v>1262</v>
      </c>
      <c r="C436" s="67"/>
      <c r="D436" s="67"/>
      <c r="E436" s="67" t="s">
        <v>1329</v>
      </c>
      <c r="F436" s="67" t="s">
        <v>1345</v>
      </c>
      <c r="G436" s="67">
        <v>0</v>
      </c>
    </row>
    <row r="437" spans="1:7" s="98" customFormat="1" hidden="1" x14ac:dyDescent="0.25">
      <c r="A437" s="116">
        <v>809653</v>
      </c>
      <c r="B437" s="67" t="s">
        <v>1258</v>
      </c>
      <c r="C437" s="67"/>
      <c r="D437" s="67"/>
      <c r="E437" s="67" t="s">
        <v>1330</v>
      </c>
      <c r="F437" s="67" t="s">
        <v>1346</v>
      </c>
      <c r="G437" s="67">
        <v>0</v>
      </c>
    </row>
    <row r="438" spans="1:7" s="98" customFormat="1" hidden="1" x14ac:dyDescent="0.25">
      <c r="A438" s="67"/>
      <c r="B438" s="67"/>
      <c r="C438" s="67"/>
      <c r="D438" s="67"/>
      <c r="E438" s="67"/>
      <c r="F438" s="67"/>
      <c r="G438" s="67"/>
    </row>
    <row r="439" spans="1:7" s="98" customFormat="1" hidden="1" x14ac:dyDescent="0.25">
      <c r="A439" s="67">
        <v>793942</v>
      </c>
      <c r="B439" s="67" t="s">
        <v>1404</v>
      </c>
      <c r="C439" s="67"/>
      <c r="D439" s="67"/>
      <c r="E439" s="67" t="s">
        <v>1388</v>
      </c>
      <c r="F439" s="67" t="s">
        <v>1396</v>
      </c>
      <c r="G439" s="67"/>
    </row>
    <row r="440" spans="1:7" s="98" customFormat="1" hidden="1" x14ac:dyDescent="0.25">
      <c r="A440" s="67">
        <v>793943</v>
      </c>
      <c r="B440" s="67" t="s">
        <v>1405</v>
      </c>
      <c r="C440" s="67"/>
      <c r="D440" s="67"/>
      <c r="E440" s="67" t="s">
        <v>1389</v>
      </c>
      <c r="F440" s="67" t="s">
        <v>1395</v>
      </c>
      <c r="G440" s="67"/>
    </row>
    <row r="441" spans="1:7" s="98" customFormat="1" hidden="1" x14ac:dyDescent="0.25">
      <c r="A441" s="67">
        <v>809691</v>
      </c>
      <c r="B441" s="67" t="s">
        <v>1406</v>
      </c>
      <c r="C441" s="67"/>
      <c r="D441" s="67"/>
      <c r="E441" s="67" t="s">
        <v>1392</v>
      </c>
      <c r="F441" s="67" t="s">
        <v>1397</v>
      </c>
      <c r="G441" s="67"/>
    </row>
    <row r="442" spans="1:7" s="98" customFormat="1" hidden="1" x14ac:dyDescent="0.25">
      <c r="A442" s="67">
        <v>809692</v>
      </c>
      <c r="B442" s="67" t="s">
        <v>1407</v>
      </c>
      <c r="C442" s="67"/>
      <c r="D442" s="67"/>
      <c r="E442" s="67" t="s">
        <v>1393</v>
      </c>
      <c r="F442" s="67" t="s">
        <v>1398</v>
      </c>
      <c r="G442" s="67"/>
    </row>
    <row r="443" spans="1:7" s="98" customFormat="1" hidden="1" x14ac:dyDescent="0.25">
      <c r="A443" s="67">
        <v>809694</v>
      </c>
      <c r="B443" s="67" t="s">
        <v>1408</v>
      </c>
      <c r="C443" s="67"/>
      <c r="D443" s="67"/>
      <c r="E443" s="67" t="s">
        <v>1390</v>
      </c>
      <c r="F443" s="67" t="s">
        <v>1400</v>
      </c>
      <c r="G443" s="67"/>
    </row>
    <row r="444" spans="1:7" s="98" customFormat="1" hidden="1" x14ac:dyDescent="0.25">
      <c r="A444" s="67">
        <v>809695</v>
      </c>
      <c r="B444" s="67" t="s">
        <v>1409</v>
      </c>
      <c r="C444" s="67"/>
      <c r="D444" s="67"/>
      <c r="E444" s="67" t="s">
        <v>1391</v>
      </c>
      <c r="F444" s="67" t="s">
        <v>1399</v>
      </c>
      <c r="G444" s="67"/>
    </row>
    <row r="445" spans="1:7" s="98" customFormat="1" hidden="1" x14ac:dyDescent="0.25">
      <c r="A445" s="67">
        <v>809697</v>
      </c>
      <c r="B445" s="67" t="s">
        <v>1410</v>
      </c>
      <c r="C445" s="67"/>
      <c r="D445" s="67"/>
      <c r="E445" s="67" t="s">
        <v>1394</v>
      </c>
      <c r="F445" s="67" t="s">
        <v>1401</v>
      </c>
      <c r="G445" s="67"/>
    </row>
    <row r="446" spans="1:7" s="98" customFormat="1" hidden="1" x14ac:dyDescent="0.25">
      <c r="A446" s="131" t="s">
        <v>1454</v>
      </c>
      <c r="B446" s="67"/>
      <c r="C446" s="67"/>
      <c r="D446" s="67"/>
      <c r="E446" s="67"/>
      <c r="F446" s="67"/>
      <c r="G446" s="67"/>
    </row>
    <row r="447" spans="1:7" s="98" customFormat="1" hidden="1" x14ac:dyDescent="0.25">
      <c r="A447" s="130">
        <v>833688</v>
      </c>
      <c r="B447" s="98" t="s">
        <v>1461</v>
      </c>
      <c r="C447" s="67"/>
      <c r="D447" s="67"/>
      <c r="E447" s="67" t="s">
        <v>1459</v>
      </c>
      <c r="F447" s="67" t="s">
        <v>1460</v>
      </c>
      <c r="G447" s="67"/>
    </row>
    <row r="448" spans="1:7" s="98" customFormat="1" hidden="1" x14ac:dyDescent="0.25">
      <c r="A448" s="130">
        <v>828318</v>
      </c>
      <c r="B448" s="67" t="s">
        <v>1462</v>
      </c>
      <c r="C448" s="67"/>
      <c r="D448" s="67"/>
      <c r="E448" s="67" t="s">
        <v>1463</v>
      </c>
      <c r="F448" s="67" t="s">
        <v>1464</v>
      </c>
      <c r="G448" s="67"/>
    </row>
    <row r="449" spans="1:8" s="98" customFormat="1" hidden="1" x14ac:dyDescent="0.25">
      <c r="A449" s="130">
        <v>770965</v>
      </c>
      <c r="B449" s="67" t="s">
        <v>1455</v>
      </c>
      <c r="C449" s="67"/>
      <c r="D449" s="67"/>
      <c r="E449" s="67" t="s">
        <v>1456</v>
      </c>
      <c r="F449" s="67" t="s">
        <v>1456</v>
      </c>
      <c r="G449" s="67" t="s">
        <v>1457</v>
      </c>
    </row>
    <row r="450" spans="1:8" s="98" customFormat="1" hidden="1" x14ac:dyDescent="0.25">
      <c r="A450" s="130">
        <v>822393</v>
      </c>
      <c r="B450" s="67" t="s">
        <v>1465</v>
      </c>
      <c r="C450" s="67"/>
      <c r="D450" s="67"/>
      <c r="E450" s="67" t="s">
        <v>1317</v>
      </c>
      <c r="F450" s="67" t="s">
        <v>1333</v>
      </c>
      <c r="G450" s="67" t="s">
        <v>1458</v>
      </c>
    </row>
    <row r="451" spans="1:8" s="98" customFormat="1" hidden="1" x14ac:dyDescent="0.25">
      <c r="A451" s="130">
        <v>820048</v>
      </c>
      <c r="B451" s="67" t="s">
        <v>1411</v>
      </c>
      <c r="C451" s="67"/>
      <c r="D451" s="67"/>
      <c r="E451" s="67" t="s">
        <v>1357</v>
      </c>
      <c r="F451" s="67" t="s">
        <v>1412</v>
      </c>
      <c r="G451" s="67"/>
    </row>
    <row r="452" spans="1:8" s="98" customFormat="1" hidden="1" x14ac:dyDescent="0.25">
      <c r="A452" s="67"/>
      <c r="B452" s="67"/>
      <c r="C452" s="67"/>
      <c r="D452" s="67"/>
      <c r="E452" s="67"/>
      <c r="F452" s="67"/>
      <c r="G452" s="67"/>
    </row>
    <row r="453" spans="1:8" s="98" customFormat="1" hidden="1" x14ac:dyDescent="0.25">
      <c r="A453" s="130">
        <v>834696</v>
      </c>
      <c r="B453" s="67" t="s">
        <v>1469</v>
      </c>
      <c r="D453" s="67"/>
      <c r="E453" s="67" t="s">
        <v>1470</v>
      </c>
      <c r="F453" s="67" t="s">
        <v>1477</v>
      </c>
      <c r="G453" s="67"/>
    </row>
    <row r="454" spans="1:8" s="98" customFormat="1" hidden="1" x14ac:dyDescent="0.25">
      <c r="A454" s="130">
        <v>834689</v>
      </c>
      <c r="B454" s="67" t="s">
        <v>1471</v>
      </c>
      <c r="D454" s="67"/>
      <c r="E454" s="67" t="s">
        <v>1472</v>
      </c>
      <c r="F454" s="67" t="s">
        <v>1477</v>
      </c>
      <c r="G454" s="67"/>
    </row>
    <row r="455" spans="1:8" s="98" customFormat="1" hidden="1" x14ac:dyDescent="0.25">
      <c r="A455" s="130">
        <v>834697</v>
      </c>
      <c r="B455" s="67" t="s">
        <v>1473</v>
      </c>
      <c r="D455" s="67"/>
      <c r="E455" s="67" t="s">
        <v>1474</v>
      </c>
      <c r="F455" s="67" t="s">
        <v>1478</v>
      </c>
      <c r="G455" s="67"/>
    </row>
    <row r="456" spans="1:8" s="98" customFormat="1" hidden="1" x14ac:dyDescent="0.25">
      <c r="A456" s="130">
        <v>834695</v>
      </c>
      <c r="B456" s="67" t="s">
        <v>1475</v>
      </c>
      <c r="D456" s="67"/>
      <c r="E456" s="67" t="s">
        <v>1476</v>
      </c>
      <c r="F456" s="67" t="s">
        <v>1478</v>
      </c>
      <c r="G456" s="67"/>
    </row>
    <row r="457" spans="1:8" s="98" customFormat="1" hidden="1" x14ac:dyDescent="0.25">
      <c r="A457" s="67"/>
      <c r="B457" s="67"/>
      <c r="C457" s="67"/>
      <c r="D457" s="67"/>
      <c r="E457" s="67"/>
      <c r="F457" s="67"/>
      <c r="G457" s="67"/>
    </row>
    <row r="458" spans="1:8" s="98" customFormat="1" hidden="1" x14ac:dyDescent="0.25">
      <c r="A458" s="67"/>
      <c r="B458" s="67"/>
      <c r="C458" s="67"/>
      <c r="D458" s="67"/>
      <c r="E458" s="67"/>
      <c r="F458" s="67"/>
      <c r="G458" s="67"/>
    </row>
    <row r="459" spans="1:8" s="98" customFormat="1" hidden="1" x14ac:dyDescent="0.25">
      <c r="A459" s="67"/>
      <c r="B459" s="67"/>
      <c r="C459" s="67"/>
      <c r="D459" s="67"/>
      <c r="E459" s="67"/>
      <c r="F459" s="67"/>
      <c r="G459" s="67"/>
    </row>
    <row r="460" spans="1:8" s="98" customFormat="1" hidden="1" x14ac:dyDescent="0.25">
      <c r="A460" s="67"/>
      <c r="B460" s="67"/>
      <c r="C460" s="67"/>
      <c r="D460" s="67"/>
      <c r="E460" s="67"/>
      <c r="F460" s="67"/>
      <c r="G460" s="67"/>
    </row>
    <row r="461" spans="1:8" s="98" customFormat="1" hidden="1" x14ac:dyDescent="0.25">
      <c r="A461" s="67"/>
      <c r="B461" s="67"/>
      <c r="C461" s="67"/>
      <c r="D461" s="67"/>
      <c r="E461" s="67"/>
      <c r="F461" s="67"/>
      <c r="G461" s="67"/>
    </row>
    <row r="462" spans="1:8" hidden="1" x14ac:dyDescent="0.25">
      <c r="A462" s="1"/>
      <c r="B462" s="1"/>
      <c r="C462" s="1"/>
      <c r="D462" s="1"/>
      <c r="E462" s="1"/>
      <c r="F462" s="1"/>
      <c r="G462" s="1"/>
      <c r="H462" s="1"/>
    </row>
  </sheetData>
  <sheetProtection password="DD29" sheet="1" objects="1" scenarios="1"/>
  <conditionalFormatting sqref="E254">
    <cfRule type="expression" dxfId="11" priority="10">
      <formula>$O254="na wycofaniu/im Auslauf"</formula>
    </cfRule>
    <cfRule type="expression" dxfId="10" priority="11">
      <formula>$O254="część serwisowa/Serivce-Teil"</formula>
    </cfRule>
    <cfRule type="expression" dxfId="9" priority="12">
      <formula>$O254="wycofany/ausgelaufen"</formula>
    </cfRule>
  </conditionalFormatting>
  <conditionalFormatting sqref="A447:A451">
    <cfRule type="expression" dxfId="8" priority="1">
      <formula>$O447="na wycofaniu/im Auslauf"</formula>
    </cfRule>
    <cfRule type="expression" dxfId="7" priority="2">
      <formula>$O447="część serwisowa/Serivce-Teil"</formula>
    </cfRule>
    <cfRule type="expression" dxfId="6" priority="9">
      <formula>$O447="wycofany/ausgelaufen"</formula>
    </cfRule>
  </conditionalFormatting>
  <conditionalFormatting sqref="A447:A451">
    <cfRule type="expression" dxfId="5" priority="6">
      <formula>$U447="niedostępny/nicht verfuegbar"</formula>
    </cfRule>
    <cfRule type="expression" dxfId="4" priority="7">
      <formula>$U447="część serwisowa/Serivce-Teil"</formula>
    </cfRule>
    <cfRule type="expression" dxfId="3" priority="8">
      <formula>$U447="na wycofaniu/im Auslauf"</formula>
    </cfRule>
  </conditionalFormatting>
  <conditionalFormatting sqref="A447:A451">
    <cfRule type="expression" dxfId="2" priority="3">
      <formula>$U447="niedostępny/nicht verfuegbar"</formula>
    </cfRule>
    <cfRule type="expression" dxfId="1" priority="4">
      <formula>$U447="część serwisowa/Serivce-Teil"</formula>
    </cfRule>
    <cfRule type="expression" dxfId="0" priority="5">
      <formula>$U447="na wycofaniu/im Auslauf"</formula>
    </cfRule>
  </conditionalFormatting>
  <hyperlinks>
    <hyperlink ref="B69" location="Szablony!A1" display="Zamówienie szablonów"/>
    <hyperlink ref="B124" r:id="rId1" display="Link do instrukcji"/>
    <hyperlink ref="B125" r:id="rId2" display="Link do instrukcji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DF48D0C84AAB499155420D36AB4D81" ma:contentTypeVersion="2" ma:contentTypeDescription="Utwórz nowy dokument." ma:contentTypeScope="" ma:versionID="a6307b91a6347319db7b52a4ea0b279a">
  <xsd:schema xmlns:xsd="http://www.w3.org/2001/XMLSchema" xmlns:xs="http://www.w3.org/2001/XMLSchema" xmlns:p="http://schemas.microsoft.com/office/2006/metadata/properties" xmlns:ns2="50b32e02-7d05-4c1e-a4fa-bfb7c31bbca6" targetNamespace="http://schemas.microsoft.com/office/2006/metadata/properties" ma:root="true" ma:fieldsID="c62b5ba13485a68ba03fa4514a7ad36c" ns2:_="">
    <xsd:import namespace="50b32e02-7d05-4c1e-a4fa-bfb7c31bbc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32e02-7d05-4c1e-a4fa-bfb7c31bbc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4EDCD7-D57E-41DC-8E38-864B23DB936A}"/>
</file>

<file path=customXml/itemProps2.xml><?xml version="1.0" encoding="utf-8"?>
<ds:datastoreItem xmlns:ds="http://schemas.openxmlformats.org/officeDocument/2006/customXml" ds:itemID="{984EC66C-37EF-4DC5-8B6C-D51130716E03}"/>
</file>

<file path=customXml/itemProps3.xml><?xml version="1.0" encoding="utf-8"?>
<ds:datastoreItem xmlns:ds="http://schemas.openxmlformats.org/officeDocument/2006/customXml" ds:itemID="{8032A05D-B87F-4FCE-B096-4454CF462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4</vt:i4>
      </vt:variant>
    </vt:vector>
  </HeadingPairs>
  <TitlesOfParts>
    <vt:vector size="14" baseType="lpstr">
      <vt:lpstr>Schemat A</vt:lpstr>
      <vt:lpstr>Schemat A′</vt:lpstr>
      <vt:lpstr>Schemat A RC2</vt:lpstr>
      <vt:lpstr>Schemat C</vt:lpstr>
      <vt:lpstr>Schemat C′</vt:lpstr>
      <vt:lpstr>Schemat K</vt:lpstr>
      <vt:lpstr>Schemat K′</vt:lpstr>
      <vt:lpstr>Szablony</vt:lpstr>
      <vt:lpstr>SAP</vt:lpstr>
      <vt:lpstr>Lista zmian</vt:lpstr>
      <vt:lpstr>'Schemat A'!Obszar_wydruku</vt:lpstr>
      <vt:lpstr>'Schemat A RC2'!Obszar_wydruku</vt:lpstr>
      <vt:lpstr>'Schemat A′'!Obszar_wydruku</vt:lpstr>
      <vt:lpstr>'Schemat C'!Obszar_wydruku</vt:lpstr>
    </vt:vector>
  </TitlesOfParts>
  <Company>Roto Frank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Dolman</dc:creator>
  <cp:lastModifiedBy>Pawel Dolman</cp:lastModifiedBy>
  <cp:lastPrinted>2019-06-10T13:05:46Z</cp:lastPrinted>
  <dcterms:created xsi:type="dcterms:W3CDTF">2018-01-15T12:22:16Z</dcterms:created>
  <dcterms:modified xsi:type="dcterms:W3CDTF">2019-12-05T10:31:59Z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0x01010093DF48D0C84AAB499155420D36AB4D81</vt:lpwstr>
  </property>
</Properties>
</file>