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externalLinks/_rels/externalLink16.xml.rels" ContentType="application/vnd.openxmlformats-package.relationships+xml"/>
  <Override PartName="/xl/externalLinks/_rels/externalLink15.xml.rels" ContentType="application/vnd.openxmlformats-package.relationships+xml"/>
  <Override PartName="/xl/externalLinks/externalLink16.xml" ContentType="application/vnd.openxmlformats-officedocument.spreadsheetml.externalLink+xml"/>
  <Override PartName="/xl/externalLinks/externalLink15.xml" ContentType="application/vnd.openxmlformats-officedocument.spreadsheetml.externalLink+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basic" sheetId="1" state="visible" r:id="rId2"/>
    <sheet name="Correlation" sheetId="2" state="visible" r:id="rId3"/>
    <sheet name="Table_1" sheetId="3" state="visible" r:id="rId4"/>
    <sheet name="Table_2" sheetId="4" state="visible" r:id="rId5"/>
    <sheet name="Table_3" sheetId="5" state="visible" r:id="rId6"/>
    <sheet name="Table_4" sheetId="6" state="visible" r:id="rId7"/>
    <sheet name="Table_5" sheetId="7" state="visible" r:id="rId8"/>
    <sheet name="Table_6" sheetId="8" state="visible" r:id="rId9"/>
    <sheet name="Table_7" sheetId="9" state="visible" r:id="rId10"/>
    <sheet name="Table_8" sheetId="10" state="visible" r:id="rId11"/>
    <sheet name="Table_A.1" sheetId="11" state="visible" r:id="rId12"/>
    <sheet name="referee" sheetId="12" state="visible" r:id="rId13"/>
  </sheets>
  <externalReferences>
    <externalReference r:id="rId14"/>
    <externalReference r:id="rId1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<sst xmlns="http://schemas.openxmlformats.org/spreadsheetml/2006/main" count="533" uniqueCount="193">
  <si>
    <t xml:space="preserve">Note: the baseline model has Cobb-Douglas final good aggrgeator and balanced trade</t>
  </si>
  <si>
    <t xml:space="preserve">Must be done by</t>
  </si>
  <si>
    <t xml:space="preserve">run</t>
  </si>
  <si>
    <t xml:space="preserve">io_link</t>
  </si>
  <si>
    <t xml:space="preserve">balanced_trade</t>
  </si>
  <si>
    <t xml:space="preserve">labor_adjustment_cost</t>
  </si>
  <si>
    <t xml:space="preserve">theta</t>
  </si>
  <si>
    <t xml:space="preserve">eta</t>
  </si>
  <si>
    <t xml:space="preserve">trade_cost</t>
  </si>
  <si>
    <t xml:space="preserve">shock</t>
  </si>
  <si>
    <t xml:space="preserve">china</t>
  </si>
  <si>
    <t xml:space="preserve">All robsustness checks other than imbalance trade model shoud feature balanced trade</t>
  </si>
  <si>
    <t xml:space="preserve">(not in order of appearance in paper)</t>
  </si>
  <si>
    <t xml:space="preserve">Figure 1</t>
  </si>
  <si>
    <t xml:space="preserve">Histogram of bilateral κ in Manufacturing sectors. Years 1972 and 2007</t>
  </si>
  <si>
    <t xml:space="preserve">Done</t>
  </si>
  <si>
    <t xml:space="preserve">Figure 2</t>
  </si>
  <si>
    <t xml:space="preserve">Histogram of bilateral κ in Agricultural sectors. Years 1972 and 2007</t>
  </si>
  <si>
    <t xml:space="preserve">Figure 3</t>
  </si>
  <si>
    <t xml:space="preserve">Model generated volatility in benchmark v. data</t>
  </si>
  <si>
    <t xml:space="preserve">5/15/2017</t>
  </si>
  <si>
    <t xml:space="preserve">Text P. 27</t>
  </si>
  <si>
    <t xml:space="preserve">Correlation model volatility (standard deviation and variance) and data in full sample and without China</t>
  </si>
  <si>
    <t xml:space="preserve">Figure 4</t>
  </si>
  <si>
    <t xml:space="preserve">Time series of trade volumes in data, baseline, and counterfactual with 1972 trade costs</t>
  </si>
  <si>
    <t xml:space="preserve">Table 1</t>
  </si>
  <si>
    <t xml:space="preserve">Baseline model with balanced trade</t>
  </si>
  <si>
    <t xml:space="preserve">table_1.m</t>
  </si>
  <si>
    <t xml:space="preserve">0011</t>
  </si>
  <si>
    <t xml:space="preserve">0101</t>
  </si>
  <si>
    <t xml:space="preserve">0000</t>
  </si>
  <si>
    <t xml:space="preserve">Column 1</t>
  </si>
  <si>
    <t xml:space="preserve">Difference between full model and case with constant trade costs</t>
  </si>
  <si>
    <t xml:space="preserve">Column 2</t>
  </si>
  <si>
    <t xml:space="preserve">Difference between full model without sectoral shocks, and case with constant trade costs without sectoral shocks</t>
  </si>
  <si>
    <t xml:space="preserve">Column 3</t>
  </si>
  <si>
    <t xml:space="preserve">Difference between columns 1 and 2</t>
  </si>
  <si>
    <t xml:space="preserve">Table 2</t>
  </si>
  <si>
    <t xml:space="preserve">Robustness: model with trade imbalance</t>
  </si>
  <si>
    <t xml:space="preserve">table_2.m</t>
  </si>
  <si>
    <t xml:space="preserve">Table 3</t>
  </si>
  <si>
    <t xml:space="preserve">Robustness: different thetas</t>
  </si>
  <si>
    <t xml:space="preserve">Difference between full model and case with constant trade costs with theta = 2</t>
  </si>
  <si>
    <t xml:space="preserve">table_3.m</t>
  </si>
  <si>
    <t xml:space="preserve">Difference between full model without sectoral shocks, and case with constant trade costs without sectoral shocks, with theta = 2</t>
  </si>
  <si>
    <t xml:space="preserve">Column 4</t>
  </si>
  <si>
    <t xml:space="preserve">Difference between full model and case with constant trade costs with theta = 8</t>
  </si>
  <si>
    <t xml:space="preserve">Column 5</t>
  </si>
  <si>
    <t xml:space="preserve">Difference between full model without sectoral shocks, and case with constant trade costs without sectoral shocks, with theta = 8</t>
  </si>
  <si>
    <t xml:space="preserve">Column 6</t>
  </si>
  <si>
    <t xml:space="preserve">Difference between columns 4 and 5</t>
  </si>
  <si>
    <t xml:space="preserve">Table 4</t>
  </si>
  <si>
    <t xml:space="preserve">Robustness: model without input-output linkages (beta^j = 1 for all j)</t>
  </si>
  <si>
    <t xml:space="preserve">5/21/2017</t>
  </si>
  <si>
    <t xml:space="preserve">table_4.m</t>
  </si>
  <si>
    <t xml:space="preserve">Table 5</t>
  </si>
  <si>
    <t xml:space="preserve">Robustness: model with sectoral reallocation costs</t>
  </si>
  <si>
    <t xml:space="preserve">table_5.m</t>
  </si>
  <si>
    <t xml:space="preserve">Difference between full model and case with constant trade costs, after reducing rho by half</t>
  </si>
  <si>
    <t xml:space="preserve">Difference between full model without sectoral shocks, and case with constant trade costs without sectoral shocks, after reducing rho by half</t>
  </si>
  <si>
    <t xml:space="preserve">Table 6</t>
  </si>
  <si>
    <t xml:space="preserve">Role of China</t>
  </si>
  <si>
    <t xml:space="preserve">table_6.m</t>
  </si>
  <si>
    <t xml:space="preserve">1111</t>
  </si>
  <si>
    <t xml:space="preserve">Difference between full model and case with constant trade costs with all kappas = 0 for China</t>
  </si>
  <si>
    <t xml:space="preserve">Difference between full model without sectoral shocks, and case with constant trade costs without sectoral shocks, with all kappas = 0 for China</t>
  </si>
  <si>
    <t xml:space="preserve">Difference between full model and case where only Chinese kappas are held constant at 1972 levels</t>
  </si>
  <si>
    <t xml:space="preserve">2222</t>
  </si>
  <si>
    <t xml:space="preserve">Difference between full model without sectoral shocks, and case where only Chinese kappas are held constant, without sectoral shocks</t>
  </si>
  <si>
    <t xml:space="preserve">Table 7</t>
  </si>
  <si>
    <t xml:space="preserve">Results by decade</t>
  </si>
  <si>
    <t xml:space="preserve">table_7.m</t>
  </si>
  <si>
    <t xml:space="preserve">Rows</t>
  </si>
  <si>
    <t xml:space="preserve">Only decade averages (no country by country)</t>
  </si>
  <si>
    <t xml:space="preserve">Columns</t>
  </si>
  <si>
    <t xml:space="preserve">Same as Table 1</t>
  </si>
  <si>
    <t xml:space="preserve">Table A.1</t>
  </si>
  <si>
    <t xml:space="preserve">Volatility in the benchmark</t>
  </si>
  <si>
    <t xml:space="preserve">Table_1.m</t>
  </si>
  <si>
    <t xml:space="preserve">Volatility in the benchmark without sectoral shocks</t>
  </si>
  <si>
    <t xml:space="preserve">Volatility in the benchmark at 1972 trade costs</t>
  </si>
  <si>
    <t xml:space="preserve">Volatility in the benchmark without sectoral shocks and at 1972 trade costs</t>
  </si>
  <si>
    <t xml:space="preserve">Letter to referee 3</t>
  </si>
  <si>
    <t xml:space="preserve">Correlations between productivitities we estimate and from KLEMS</t>
  </si>
  <si>
    <t xml:space="preserve">standard deviation</t>
  </si>
  <si>
    <t xml:space="preserve">variance</t>
  </si>
  <si>
    <t xml:space="preserve">Correlation model volatility and data in full sample</t>
  </si>
  <si>
    <t xml:space="preserve">Correlation model volatility and data without China</t>
  </si>
  <si>
    <t xml:space="preserve">Volatility change due to changes in trade barriers
(1)</t>
  </si>
  <si>
    <t xml:space="preserve">Volatility change due to diversification
(2)</t>
  </si>
  <si>
    <t xml:space="preserve">Volatility change due to specialization
(3)</t>
  </si>
  <si>
    <t xml:space="preserve">Australia</t>
  </si>
  <si>
    <t xml:space="preserve">Austria</t>
  </si>
  <si>
    <t xml:space="preserve">Belgium and Luxembourg</t>
  </si>
  <si>
    <t xml:space="preserve">Canada</t>
  </si>
  <si>
    <t xml:space="preserve">China</t>
  </si>
  <si>
    <t xml:space="preserve">Colombia</t>
  </si>
  <si>
    <t xml:space="preserve">Denmark</t>
  </si>
  <si>
    <t xml:space="preserve">Finland</t>
  </si>
  <si>
    <t xml:space="preserve">France</t>
  </si>
  <si>
    <t xml:space="preserve">Germany</t>
  </si>
  <si>
    <t xml:space="preserve">Greece</t>
  </si>
  <si>
    <t xml:space="preserve">India</t>
  </si>
  <si>
    <t xml:space="preserve">Ireland</t>
  </si>
  <si>
    <t xml:space="preserve">Italy</t>
  </si>
  <si>
    <t xml:space="preserve">Japan</t>
  </si>
  <si>
    <t xml:space="preserve">Mexico</t>
  </si>
  <si>
    <t xml:space="preserve">Netherlands</t>
  </si>
  <si>
    <t xml:space="preserve">Norway</t>
  </si>
  <si>
    <t xml:space="preserve">Portugal</t>
  </si>
  <si>
    <t xml:space="preserve">ROW</t>
  </si>
  <si>
    <t xml:space="preserve">South Korea</t>
  </si>
  <si>
    <t xml:space="preserve">Spain</t>
  </si>
  <si>
    <t xml:space="preserve">Sweden</t>
  </si>
  <si>
    <t xml:space="preserve">United Kingdom</t>
  </si>
  <si>
    <t xml:space="preserve">United States</t>
  </si>
  <si>
    <t xml:space="preserve">Average</t>
  </si>
  <si>
    <t xml:space="preserve">Note: Column (1) shows the percent change in average volatility as economies lowered their trading costs. Column (2) shows the contribution of diversification to the change in volatility in (1). Column (3) shows the contribution of specialization to the change in volatility in (1).</t>
  </si>
  <si>
    <t xml:space="preserve">Average (without China)</t>
  </si>
  <si>
    <t xml:space="preserve">70'</t>
  </si>
  <si>
    <t xml:space="preserve">80'</t>
  </si>
  <si>
    <t xml:space="preserve">90'</t>
  </si>
  <si>
    <t xml:space="preserve">00'</t>
  </si>
  <si>
    <t xml:space="preserve">Table 8</t>
  </si>
  <si>
    <t xml:space="preserve">Benchmark volatility
(1)</t>
  </si>
  <si>
    <t xml:space="preserve">Benchmark volatility without sectoral shocks
(2)</t>
  </si>
  <si>
    <t xml:space="preserve">Benchmark volatility at 1972 trade costs
(3)</t>
  </si>
  <si>
    <t xml:space="preserve">Benchmark volatility without sectoral shocks and at 1972 trade costs
(4)</t>
  </si>
  <si>
    <t xml:space="preserve">Note: Column (1) shows the average volatility in the baseline model using the calibrated kappas and shocks from 1972-2007. Column (2) is the volatility in (1) after removing common sectoral shocks. Column (3) shows the average volatility using the calibrated shocks from 1972-2007 under the assumption that trade costs remain at their 1972 levels. Column (4) is similar to (3), after removing common sectoral shocks.</t>
  </si>
  <si>
    <t xml:space="preserve">----------------------------------------------------------------------------------------------------------------------------------------------------------------------------------</t>
  </si>
  <si>
    <t xml:space="preserve">coef</t>
  </si>
  <si>
    <t xml:space="preserve">se</t>
  </si>
  <si>
    <t xml:space="preserve">t</t>
  </si>
  <si>
    <t xml:space="preserve">      name:  &lt;unnamed&gt;</t>
  </si>
  <si>
    <t xml:space="preserve">between countries</t>
  </si>
  <si>
    <t xml:space="preserve">       log:  C:\Users\balaz\Desktop\TFP_comp.log</t>
  </si>
  <si>
    <t xml:space="preserve">within countries</t>
  </si>
  <si>
    <t xml:space="preserve">  log type:  text</t>
  </si>
  <si>
    <t xml:space="preserve">between industries</t>
  </si>
  <si>
    <t xml:space="preserve"> opened on:  26 Jul 2017, 16:45:47</t>
  </si>
  <si>
    <t xml:space="preserve">within industries</t>
  </si>
  <si>
    <t xml:space="preserve">. *(4 variables, 150 observations pasted into data editor)</t>
  </si>
  <si>
    <t xml:space="preserve">. drop if country == 8 | country == 9 | country == 13</t>
  </si>
  <si>
    <t xml:space="preserve">(30 observations deleted)</t>
  </si>
  <si>
    <t xml:space="preserve">. xtset country industry</t>
  </si>
  <si>
    <t xml:space="preserve">       panel variable:  country (strongly balanced)</t>
  </si>
  <si>
    <t xml:space="preserve">        time variable:  industry, 1 to 10</t>
  </si>
  <si>
    <t xml:space="preserve">                delta:  1 unit</t>
  </si>
  <si>
    <t xml:space="preserve">. xtreg euklems model, be</t>
  </si>
  <si>
    <t xml:space="preserve">Between regression (regression on group means)  Number of obs     =        120</t>
  </si>
  <si>
    <t xml:space="preserve">Group variable: country                         Number of groups  =         12</t>
  </si>
  <si>
    <t xml:space="preserve">R-sq:                                           Obs per group:</t>
  </si>
  <si>
    <t xml:space="preserve">     within  = 0.1453                                         min =         10</t>
  </si>
  <si>
    <t xml:space="preserve">     between = 0.0269                                         avg =       10.0</t>
  </si>
  <si>
    <t xml:space="preserve">     overall = 0.1195                                         max =         10</t>
  </si>
  <si>
    <t xml:space="preserve">                                                F(1,10)           =       0.28</t>
  </si>
  <si>
    <t xml:space="preserve">sd(u_i + avg(e_i.))=  1.008061                  Prob &gt; F          =     0.6104</t>
  </si>
  <si>
    <t xml:space="preserve">------------------------------------------------------------------------------</t>
  </si>
  <si>
    <t xml:space="preserve">     euklems |      Coef.   Std. Err.      t    P&gt;|t|     [95% Conf. Interval]</t>
  </si>
  <si>
    <t xml:space="preserve">-------------+----------------------------------------------------------------</t>
  </si>
  <si>
    <t xml:space="preserve">       model |   .0451017   .0857608     0.53   0.610    -.1459853    .2361888</t>
  </si>
  <si>
    <t xml:space="preserve">       _cons |    1.21406   1.029713     1.18   0.266    -1.080283    3.508403</t>
  </si>
  <si>
    <t xml:space="preserve">. xtreg euklems model, fe</t>
  </si>
  <si>
    <t xml:space="preserve">Fixed-effects (within) regression               Number of obs     =        120</t>
  </si>
  <si>
    <t xml:space="preserve">                                                F(1,107)          =      18.19</t>
  </si>
  <si>
    <t xml:space="preserve">corr(u_i, Xb)  = -0.0259                        Prob &gt; F          =     0.0000</t>
  </si>
  <si>
    <t xml:space="preserve">       model |   .0675627   .0158404     4.27   0.000     .0361609    .0989644</t>
  </si>
  <si>
    <t xml:space="preserve">       _cons |   .9553689   .2444903     3.91   0.000     .4706954    1.440042</t>
  </si>
  <si>
    <t xml:space="preserve">     sigma_u |  .96443878</t>
  </si>
  <si>
    <t xml:space="preserve">     sigma_e |  1.7829638</t>
  </si>
  <si>
    <t xml:space="preserve">         rho |  .22636141   (fraction of variance due to u_i)</t>
  </si>
  <si>
    <t xml:space="preserve">F test that all u_i=0: F(11, 107) = 2.92                     Prob &gt; F = 0.0021</t>
  </si>
  <si>
    <t xml:space="preserve">. xtset industry country</t>
  </si>
  <si>
    <t xml:space="preserve">       panel variable:  industry (strongly balanced)</t>
  </si>
  <si>
    <t xml:space="preserve">        time variable:  country, 1 to 15, but with gaps</t>
  </si>
  <si>
    <t xml:space="preserve">Group variable: industry                        Number of groups  =         10</t>
  </si>
  <si>
    <t xml:space="preserve">     within  = 0.0017                                         min =         12</t>
  </si>
  <si>
    <t xml:space="preserve">     between = 0.7262                                         avg =       12.0</t>
  </si>
  <si>
    <t xml:space="preserve">     overall = 0.1195                                         max =         12</t>
  </si>
  <si>
    <t xml:space="preserve">                                                F(1,8)            =      21.22</t>
  </si>
  <si>
    <t xml:space="preserve">sd(u_i + avg(e_i.))=  .6278678                  Prob &gt; F          =     0.0017</t>
  </si>
  <si>
    <t xml:space="preserve">       model |   .1177053   .0255549     4.61   0.002     .0587757    .1766349</t>
  </si>
  <si>
    <t xml:space="preserve">       _cons |   .3778586   .3550332     1.06   0.318    -.4408495    1.196567</t>
  </si>
  <si>
    <t xml:space="preserve">                                                F(1,109)          =       0.19</t>
  </si>
  <si>
    <t xml:space="preserve">corr(u_i, Xb)  = 0.5968                         Prob &gt; F          =     0.6640</t>
  </si>
  <si>
    <t xml:space="preserve">       model |   .0096435   .0221361     0.44   0.664    -.0342295    .0535166</t>
  </si>
  <si>
    <t xml:space="preserve">       _cons |   1.622445    .304623     5.33   0.000     1.018692    2.226197</t>
  </si>
  <si>
    <t xml:space="preserve">     sigma_u |    1.06473</t>
  </si>
  <si>
    <t xml:space="preserve">     sigma_e |  1.8263391</t>
  </si>
  <si>
    <t xml:space="preserve">         rho |  .25366039   (fraction of variance due to u_i)</t>
  </si>
  <si>
    <t xml:space="preserve">F test that all u_i=0: F(9, 109) = 2.63                      Prob &gt; F = 0.0087</t>
  </si>
  <si>
    <t xml:space="preserve">. log close</t>
  </si>
  <si>
    <t xml:space="preserve"> closed on:  26 Jul 2017, 16:47:16</t>
  </si>
</sst>
</file>

<file path=xl/styles.xml><?xml version="1.0" encoding="utf-8"?>
<styleSheet xmlns="http://schemas.openxmlformats.org/spreadsheetml/2006/main">
  <numFmts count="3">
    <numFmt numFmtId="164" formatCode="General"/>
    <numFmt numFmtId="165" formatCode="0.0%"/>
    <numFmt numFmtId="166" formatCode="0.000000"/>
  </numFmts>
  <fonts count="9">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0"/>
      <color rgb="FF000000"/>
      <name val="Arial"/>
      <family val="0"/>
      <charset val="1"/>
    </font>
    <font>
      <sz val="10"/>
      <color rgb="FFFFFFFF"/>
      <name val="Arial"/>
      <family val="0"/>
      <charset val="1"/>
    </font>
    <font>
      <sz val="10"/>
      <color rgb="FF000000"/>
      <name val="Times New Roman"/>
      <family val="1"/>
      <charset val="238"/>
    </font>
    <font>
      <sz val="10"/>
      <name val="Times New Roman"/>
      <family val="1"/>
      <charset val="238"/>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top" textRotation="0" wrapText="false" indent="0" shrinkToFit="false"/>
      <protection locked="true" hidden="false"/>
    </xf>
    <xf numFmtId="164" fontId="0" fillId="2" borderId="0" xfId="0" applyFont="true" applyBorder="true" applyAlignment="true" applyProtection="false">
      <alignment horizontal="center" vertical="top"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5" fontId="8" fillId="0" borderId="6" xfId="0" applyFont="true" applyBorder="true" applyAlignment="true" applyProtection="false">
      <alignment horizontal="right" vertical="bottom" textRotation="0" wrapText="false" indent="0" shrinkToFit="false"/>
      <protection locked="true" hidden="false"/>
    </xf>
    <xf numFmtId="165" fontId="8" fillId="0" borderId="7" xfId="0" applyFont="true" applyBorder="true" applyAlignment="true" applyProtection="false">
      <alignment horizontal="right" vertical="bottom" textRotation="0" wrapText="false" indent="0" shrinkToFit="false"/>
      <protection locked="true" hidden="false"/>
    </xf>
    <xf numFmtId="165" fontId="8" fillId="0" borderId="8" xfId="0" applyFont="true" applyBorder="true" applyAlignment="true" applyProtection="false">
      <alignment horizontal="right" vertical="bottom" textRotation="0" wrapText="false" indent="0" shrinkToFit="false"/>
      <protection locked="true" hidden="false"/>
    </xf>
    <xf numFmtId="164" fontId="7" fillId="0" borderId="9" xfId="0" applyFont="true" applyBorder="true" applyAlignment="true" applyProtection="false">
      <alignment horizontal="general" vertical="bottom" textRotation="0" wrapText="false" indent="0" shrinkToFit="false"/>
      <protection locked="true" hidden="false"/>
    </xf>
    <xf numFmtId="165" fontId="8" fillId="0" borderId="10" xfId="0" applyFont="true" applyBorder="true" applyAlignment="true" applyProtection="false">
      <alignment horizontal="right" vertical="bottom" textRotation="0" wrapText="false" indent="0" shrinkToFit="false"/>
      <protection locked="true" hidden="false"/>
    </xf>
    <xf numFmtId="165" fontId="8" fillId="0" borderId="0" xfId="0" applyFont="true" applyBorder="true" applyAlignment="true" applyProtection="false">
      <alignment horizontal="right" vertical="bottom" textRotation="0" wrapText="false" indent="0" shrinkToFit="false"/>
      <protection locked="true" hidden="false"/>
    </xf>
    <xf numFmtId="165" fontId="8" fillId="0" borderId="11" xfId="0" applyFont="true" applyBorder="true" applyAlignment="true" applyProtection="false">
      <alignment horizontal="right" vertical="bottom" textRotation="0" wrapText="false" indent="0" shrinkToFit="false"/>
      <protection locked="true" hidden="false"/>
    </xf>
    <xf numFmtId="164" fontId="7" fillId="0" borderId="12" xfId="0" applyFont="true" applyBorder="true" applyAlignment="true" applyProtection="false">
      <alignment horizontal="general" vertical="bottom" textRotation="0" wrapText="false" indent="0" shrinkToFit="false"/>
      <protection locked="true" hidden="false"/>
    </xf>
    <xf numFmtId="165" fontId="8" fillId="0" borderId="13" xfId="0" applyFont="true" applyBorder="true" applyAlignment="true" applyProtection="false">
      <alignment horizontal="right" vertical="bottom" textRotation="0" wrapText="false" indent="0" shrinkToFit="false"/>
      <protection locked="true" hidden="false"/>
    </xf>
    <xf numFmtId="165" fontId="8" fillId="0" borderId="1" xfId="0" applyFont="true" applyBorder="true" applyAlignment="true" applyProtection="false">
      <alignment horizontal="right" vertical="bottom" textRotation="0" wrapText="false" indent="0" shrinkToFit="false"/>
      <protection locked="true" hidden="false"/>
    </xf>
    <xf numFmtId="165" fontId="8" fillId="0" borderId="14" xfId="0" applyFont="true" applyBorder="tru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6" fontId="7" fillId="0" borderId="6" xfId="0" applyFont="true" applyBorder="true" applyAlignment="true" applyProtection="false">
      <alignment horizontal="general" vertical="bottom" textRotation="0" wrapText="false" indent="0" shrinkToFit="false"/>
      <protection locked="true" hidden="false"/>
    </xf>
    <xf numFmtId="166" fontId="7" fillId="0" borderId="7" xfId="0" applyFont="true" applyBorder="true" applyAlignment="true" applyProtection="false">
      <alignment horizontal="general" vertical="bottom" textRotation="0" wrapText="false" indent="0" shrinkToFit="false"/>
      <protection locked="true" hidden="false"/>
    </xf>
    <xf numFmtId="166" fontId="7" fillId="0" borderId="8" xfId="0" applyFont="true" applyBorder="true" applyAlignment="true" applyProtection="false">
      <alignment horizontal="general" vertical="bottom" textRotation="0" wrapText="false" indent="0" shrinkToFit="false"/>
      <protection locked="true" hidden="false"/>
    </xf>
    <xf numFmtId="166" fontId="7" fillId="0" borderId="10" xfId="0" applyFont="true" applyBorder="true" applyAlignment="true" applyProtection="false">
      <alignment horizontal="general" vertical="bottom" textRotation="0" wrapText="false" indent="0" shrinkToFit="false"/>
      <protection locked="true" hidden="false"/>
    </xf>
    <xf numFmtId="166" fontId="7" fillId="0" borderId="0" xfId="0" applyFont="true" applyBorder="true" applyAlignment="true" applyProtection="false">
      <alignment horizontal="general" vertical="bottom" textRotation="0" wrapText="false" indent="0" shrinkToFit="false"/>
      <protection locked="true" hidden="false"/>
    </xf>
    <xf numFmtId="166" fontId="7" fillId="0" borderId="11"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6" fontId="7" fillId="0" borderId="13" xfId="0" applyFont="true" applyBorder="true" applyAlignment="tru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6" fontId="7" fillId="0" borderId="1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5.xml"/><Relationship Id="rId15" Type="http://schemas.openxmlformats.org/officeDocument/2006/relationships/externalLink" Target="externalLinks/externalLink16.xml"/><Relationship Id="rId16" Type="http://schemas.openxmlformats.org/officeDocument/2006/relationships/sharedStrings" Target="sharedStrings.xml"/>
</Relationships>
</file>

<file path=xl/externalLinks/_rels/externalLink15.xml.rels><?xml version="1.0" encoding="UTF-8"?>
<Relationships xmlns="http://schemas.openxmlformats.org/package/2006/relationships"><Relationship Id="rId1" Type="http://schemas.openxmlformats.org/officeDocument/2006/relationships/externalLinkPath" Target="Users/koren/Google%20Drive/Research/impvol-julia/experiments/CES0.5/output_table.csv" TargetMode="External"/>
</Relationships>
</file>

<file path=xl/externalLinks/_rels/externalLink16.xml.rels><?xml version="1.0" encoding="UTF-8"?>
<Relationships xmlns="http://schemas.openxmlformats.org/package/2006/relationships"><Relationship Id="rId1" Type="http://schemas.openxmlformats.org/officeDocument/2006/relationships/externalLinkPath" Target="Users/koren/Google%20Drive/Research/impvol-julia/experiments/CES1.5/output_table.csv" TargetMode="External"/>
</Relationships>
</file>

<file path=xl/externalLinks/externalLink15.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-4.37331057212242</v>
          </cell>
          <cell r="G2">
            <v>0.21949184856248</v>
          </cell>
          <cell r="H2">
            <v>-4.5928024206849</v>
          </cell>
        </row>
        <row r="3">
          <cell r="F3">
            <v>-51.3099050414287</v>
          </cell>
          <cell r="G3">
            <v>-59.4441644736992</v>
          </cell>
          <cell r="H3">
            <v>8.13425943227054</v>
          </cell>
        </row>
        <row r="4">
          <cell r="F4">
            <v>-72.2214345607101</v>
          </cell>
          <cell r="G4">
            <v>-48.4993181771023</v>
          </cell>
          <cell r="H4">
            <v>-23.7221163836077</v>
          </cell>
        </row>
        <row r="5">
          <cell r="F5">
            <v>-74.5255934972134</v>
          </cell>
          <cell r="G5">
            <v>-52.3223241407493</v>
          </cell>
          <cell r="H5">
            <v>-22.2032693564641</v>
          </cell>
        </row>
        <row r="6">
          <cell r="F6">
            <v>2.58721911279002</v>
          </cell>
          <cell r="G6">
            <v>-4.94567543537128</v>
          </cell>
          <cell r="H6">
            <v>7.53289454816127</v>
          </cell>
        </row>
        <row r="7">
          <cell r="F7">
            <v>-37.0915028133695</v>
          </cell>
          <cell r="G7">
            <v>-130.91611222525</v>
          </cell>
          <cell r="H7">
            <v>93.8246094118801</v>
          </cell>
        </row>
        <row r="8">
          <cell r="F8">
            <v>-80.2448798269329</v>
          </cell>
          <cell r="G8">
            <v>-13.5050976462384</v>
          </cell>
          <cell r="H8">
            <v>-66.7397821806945</v>
          </cell>
        </row>
        <row r="9">
          <cell r="F9">
            <v>-38.551485474784</v>
          </cell>
          <cell r="G9">
            <v>-28.6298828956188</v>
          </cell>
          <cell r="H9">
            <v>-9.92160257916519</v>
          </cell>
        </row>
        <row r="10">
          <cell r="F10">
            <v>-21.9039232776394</v>
          </cell>
          <cell r="G10">
            <v>37.8334681910329</v>
          </cell>
          <cell r="H10">
            <v>-59.7373914686722</v>
          </cell>
        </row>
        <row r="11">
          <cell r="F11">
            <v>-43.6721162441733</v>
          </cell>
          <cell r="G11">
            <v>-8.70472459793691</v>
          </cell>
          <cell r="H11">
            <v>-34.9673916462364</v>
          </cell>
        </row>
        <row r="12">
          <cell r="F12">
            <v>-30.1542399704959</v>
          </cell>
          <cell r="G12">
            <v>31.3868745623727</v>
          </cell>
          <cell r="H12">
            <v>-61.5411145328686</v>
          </cell>
        </row>
        <row r="13">
          <cell r="F13">
            <v>-32.8391702315125</v>
          </cell>
          <cell r="G13">
            <v>-29.3304594133641</v>
          </cell>
          <cell r="H13">
            <v>-3.50871081814841</v>
          </cell>
        </row>
        <row r="14">
          <cell r="F14">
            <v>-58.2340883173942</v>
          </cell>
          <cell r="G14">
            <v>-29.7507633068765</v>
          </cell>
          <cell r="H14">
            <v>-28.4833250105177</v>
          </cell>
        </row>
        <row r="15">
          <cell r="F15">
            <v>-26.9383213720629</v>
          </cell>
          <cell r="G15">
            <v>37.648985254093</v>
          </cell>
          <cell r="H15">
            <v>-64.5873066261559</v>
          </cell>
        </row>
        <row r="16">
          <cell r="F16">
            <v>-3.60386504403561</v>
          </cell>
          <cell r="G16">
            <v>4.69963427020947</v>
          </cell>
          <cell r="H16">
            <v>-8.30349931424506</v>
          </cell>
        </row>
        <row r="17">
          <cell r="F17">
            <v>-69.0387027150459</v>
          </cell>
          <cell r="G17">
            <v>-29.3274092603577</v>
          </cell>
          <cell r="H17">
            <v>-39.7112934546882</v>
          </cell>
        </row>
        <row r="18">
          <cell r="F18">
            <v>-74.2295154959689</v>
          </cell>
          <cell r="G18">
            <v>-47.4839954214155</v>
          </cell>
          <cell r="H18">
            <v>-26.7455200745534</v>
          </cell>
        </row>
        <row r="19">
          <cell r="F19">
            <v>-30.4808561362157</v>
          </cell>
          <cell r="G19">
            <v>-65.2388925426207</v>
          </cell>
          <cell r="H19">
            <v>34.758036406405</v>
          </cell>
        </row>
        <row r="20">
          <cell r="F20">
            <v>-14.1161374258826</v>
          </cell>
          <cell r="G20">
            <v>-14.3998539480107</v>
          </cell>
          <cell r="H20">
            <v>0.283716522128082</v>
          </cell>
        </row>
        <row r="21">
          <cell r="F21">
            <v>3.489981441953</v>
          </cell>
          <cell r="G21">
            <v>-7.6898003621075</v>
          </cell>
          <cell r="H21">
            <v>11.1797818040605</v>
          </cell>
        </row>
        <row r="22">
          <cell r="F22">
            <v>3.12192397724355</v>
          </cell>
          <cell r="G22">
            <v>-25.0600070513189</v>
          </cell>
          <cell r="H22">
            <v>28.1819310285625</v>
          </cell>
        </row>
        <row r="23">
          <cell r="F23">
            <v>-81.3859372391022</v>
          </cell>
          <cell r="G23">
            <v>-28.6303682633693</v>
          </cell>
          <cell r="H23">
            <v>-52.7555689757329</v>
          </cell>
        </row>
        <row r="24">
          <cell r="F24">
            <v>-46.4623838746426</v>
          </cell>
          <cell r="G24">
            <v>13.1848326449393</v>
          </cell>
          <cell r="H24">
            <v>-59.6472165195818</v>
          </cell>
        </row>
        <row r="25">
          <cell r="F25">
            <v>-59.79706852728</v>
          </cell>
          <cell r="G25">
            <v>5.25656223697922</v>
          </cell>
          <cell r="H25">
            <v>-65.0536307642592</v>
          </cell>
        </row>
        <row r="26">
          <cell r="F26">
            <v>0.117395300848192</v>
          </cell>
          <cell r="G26">
            <v>7.53718047506602</v>
          </cell>
          <cell r="H26">
            <v>-7.41978517421784</v>
          </cell>
        </row>
      </sheetData>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-2.31987491526708</v>
          </cell>
          <cell r="G2">
            <v>-0.635755623291128</v>
          </cell>
          <cell r="H2">
            <v>-1.68411929197596</v>
          </cell>
        </row>
        <row r="3">
          <cell r="F3">
            <v>-37.7089679430125</v>
          </cell>
          <cell r="G3">
            <v>-102.886742958135</v>
          </cell>
          <cell r="H3">
            <v>65.1777750151224</v>
          </cell>
        </row>
        <row r="4">
          <cell r="F4">
            <v>-62.8618689270968</v>
          </cell>
          <cell r="G4">
            <v>-67.7648065904077</v>
          </cell>
          <cell r="H4">
            <v>4.90293766331088</v>
          </cell>
        </row>
        <row r="5">
          <cell r="F5">
            <v>-67.7642773482324</v>
          </cell>
          <cell r="G5">
            <v>-76.9031683010256</v>
          </cell>
          <cell r="H5">
            <v>9.13889095279318</v>
          </cell>
        </row>
        <row r="6">
          <cell r="F6">
            <v>0.385757162658495</v>
          </cell>
          <cell r="G6">
            <v>-0.132035071272213</v>
          </cell>
          <cell r="H6">
            <v>0.517792233930708</v>
          </cell>
        </row>
        <row r="7">
          <cell r="F7">
            <v>-35.0071531786577</v>
          </cell>
          <cell r="G7">
            <v>-32.8346733353409</v>
          </cell>
          <cell r="H7">
            <v>-2.17247984331684</v>
          </cell>
        </row>
        <row r="8">
          <cell r="F8">
            <v>-82.2221406360923</v>
          </cell>
          <cell r="G8">
            <v>-41.9110620037622</v>
          </cell>
          <cell r="H8">
            <v>-40.3110786323301</v>
          </cell>
        </row>
        <row r="9">
          <cell r="F9">
            <v>-38.6951169846288</v>
          </cell>
          <cell r="G9">
            <v>-48.7433144736645</v>
          </cell>
          <cell r="H9">
            <v>10.0481974890357</v>
          </cell>
        </row>
        <row r="10">
          <cell r="F10">
            <v>-21.6766231712592</v>
          </cell>
          <cell r="G10">
            <v>20.2977247668418</v>
          </cell>
          <cell r="H10">
            <v>-41.974347938101</v>
          </cell>
        </row>
        <row r="11">
          <cell r="F11">
            <v>-61.9072501389762</v>
          </cell>
          <cell r="G11">
            <v>-85.2075934332299</v>
          </cell>
          <cell r="H11">
            <v>23.3003432942536</v>
          </cell>
        </row>
        <row r="12">
          <cell r="F12">
            <v>-9.87829407125928</v>
          </cell>
          <cell r="G12">
            <v>14.0664425936309</v>
          </cell>
          <cell r="H12">
            <v>-23.9447366648902</v>
          </cell>
        </row>
        <row r="13">
          <cell r="F13">
            <v>-6.85891474864828</v>
          </cell>
          <cell r="G13">
            <v>-1.99049729104541</v>
          </cell>
          <cell r="H13">
            <v>-4.86841745760287</v>
          </cell>
        </row>
        <row r="14">
          <cell r="F14">
            <v>-59.4397653718879</v>
          </cell>
          <cell r="G14">
            <v>-44.8937456946869</v>
          </cell>
          <cell r="H14">
            <v>-14.546019677201</v>
          </cell>
        </row>
        <row r="15">
          <cell r="F15">
            <v>-22.9194878821356</v>
          </cell>
          <cell r="G15">
            <v>19.4174150285038</v>
          </cell>
          <cell r="H15">
            <v>-42.3369029106393</v>
          </cell>
        </row>
        <row r="16">
          <cell r="F16">
            <v>-5.29492963578905</v>
          </cell>
          <cell r="G16">
            <v>1.17891457658208</v>
          </cell>
          <cell r="H16">
            <v>-6.47384421237113</v>
          </cell>
        </row>
        <row r="17">
          <cell r="F17">
            <v>-44.4873338410454</v>
          </cell>
          <cell r="G17">
            <v>-46.6262482586029</v>
          </cell>
          <cell r="H17">
            <v>2.13891441755751</v>
          </cell>
        </row>
        <row r="18">
          <cell r="F18">
            <v>-72.1798332348372</v>
          </cell>
          <cell r="G18">
            <v>-93.6491755004949</v>
          </cell>
          <cell r="H18">
            <v>21.4693422656577</v>
          </cell>
        </row>
        <row r="19">
          <cell r="F19">
            <v>-40.1973497577248</v>
          </cell>
          <cell r="G19">
            <v>-58.2398549258541</v>
          </cell>
          <cell r="H19">
            <v>18.0425051681294</v>
          </cell>
        </row>
        <row r="20">
          <cell r="F20">
            <v>1.27998798918097</v>
          </cell>
          <cell r="G20">
            <v>-58.969312210821</v>
          </cell>
          <cell r="H20">
            <v>60.2493002000019</v>
          </cell>
        </row>
        <row r="21">
          <cell r="F21">
            <v>-1.16864157459739</v>
          </cell>
          <cell r="G21">
            <v>-2.18118993205592</v>
          </cell>
          <cell r="H21">
            <v>1.01254835745855</v>
          </cell>
        </row>
        <row r="22">
          <cell r="F22">
            <v>0.44376438251493</v>
          </cell>
          <cell r="G22">
            <v>4.83413357500981</v>
          </cell>
          <cell r="H22">
            <v>-4.39036919249488</v>
          </cell>
        </row>
        <row r="23">
          <cell r="F23">
            <v>-77.1033603695931</v>
          </cell>
          <cell r="G23">
            <v>-52.4719082945895</v>
          </cell>
          <cell r="H23">
            <v>-24.6314520750036</v>
          </cell>
        </row>
        <row r="24">
          <cell r="F24">
            <v>-32.6225959701779</v>
          </cell>
          <cell r="G24">
            <v>2.19990903450105</v>
          </cell>
          <cell r="H24">
            <v>-34.822505004679</v>
          </cell>
        </row>
        <row r="25">
          <cell r="F25">
            <v>-60.0713929491941</v>
          </cell>
          <cell r="G25">
            <v>-39.7223530120159</v>
          </cell>
          <cell r="H25">
            <v>-20.3490399371782</v>
          </cell>
        </row>
        <row r="26">
          <cell r="F26">
            <v>-0.575060343014248</v>
          </cell>
          <cell r="G26">
            <v>1.09074064910073</v>
          </cell>
          <cell r="H26">
            <v>-1.66580099211498</v>
          </cell>
        </row>
      </sheetData>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4.43"/>
    <col collapsed="false" customWidth="true" hidden="false" outlineLevel="0" max="3" min="3" style="0" width="120.71"/>
    <col collapsed="false" customWidth="true" hidden="false" outlineLevel="0" max="1025" min="4" style="0" width="14.43"/>
  </cols>
  <sheetData>
    <row r="1" customFormat="false" ht="12.75" hidden="false" customHeight="false" outlineLevel="0" collapsed="false">
      <c r="A1" s="1" t="s">
        <v>0</v>
      </c>
      <c r="B1" s="2"/>
      <c r="C1" s="2"/>
      <c r="D1" s="1" t="s">
        <v>1</v>
      </c>
      <c r="E1" s="2"/>
      <c r="F1" s="2"/>
      <c r="G1" s="2"/>
      <c r="H1" s="1" t="s">
        <v>2</v>
      </c>
      <c r="I1" s="2"/>
      <c r="J1" s="2"/>
      <c r="K1" s="1" t="s">
        <v>3</v>
      </c>
      <c r="L1" s="1" t="s">
        <v>4</v>
      </c>
      <c r="M1" s="1" t="s">
        <v>5</v>
      </c>
      <c r="N1" s="1" t="s">
        <v>6</v>
      </c>
      <c r="O1" s="1" t="s">
        <v>7</v>
      </c>
      <c r="P1" s="1" t="s">
        <v>8</v>
      </c>
      <c r="Q1" s="1" t="s">
        <v>9</v>
      </c>
      <c r="R1" s="2" t="s">
        <v>10</v>
      </c>
      <c r="S1" s="3"/>
      <c r="T1" s="3"/>
      <c r="U1" s="3"/>
      <c r="V1" s="3"/>
      <c r="W1" s="3"/>
      <c r="X1" s="3"/>
      <c r="Y1" s="3"/>
      <c r="Z1" s="3"/>
    </row>
    <row r="2" customFormat="false" ht="12.75" hidden="false" customHeight="false" outlineLevel="0" collapsed="false">
      <c r="A2" s="4" t="s">
        <v>11</v>
      </c>
      <c r="B2" s="2"/>
      <c r="C2" s="2"/>
      <c r="D2" s="1" t="s">
        <v>12</v>
      </c>
      <c r="E2" s="2"/>
      <c r="F2" s="2"/>
      <c r="G2" s="2"/>
      <c r="H2" s="2"/>
      <c r="I2" s="2"/>
      <c r="J2" s="2"/>
      <c r="K2" s="2"/>
      <c r="L2" s="2"/>
      <c r="M2" s="2"/>
      <c r="N2" s="2"/>
      <c r="O2" s="2"/>
      <c r="P2" s="2"/>
      <c r="Q2" s="2"/>
      <c r="R2" s="2"/>
      <c r="S2" s="3"/>
      <c r="T2" s="3"/>
      <c r="U2" s="3"/>
      <c r="V2" s="3"/>
      <c r="W2" s="3"/>
      <c r="X2" s="3"/>
      <c r="Y2" s="3"/>
      <c r="Z2" s="3"/>
    </row>
    <row r="3" customFormat="false" ht="12.75" hidden="false" customHeight="false" outlineLevel="0" collapsed="false">
      <c r="A3" s="2"/>
      <c r="B3" s="2"/>
      <c r="C3" s="2"/>
      <c r="D3" s="2"/>
      <c r="E3" s="2"/>
      <c r="F3" s="2"/>
      <c r="G3" s="2"/>
      <c r="H3" s="2"/>
      <c r="I3" s="2"/>
      <c r="J3" s="2"/>
      <c r="K3" s="2"/>
      <c r="L3" s="2"/>
      <c r="M3" s="2"/>
      <c r="N3" s="2"/>
      <c r="O3" s="2"/>
      <c r="P3" s="2"/>
      <c r="Q3" s="2"/>
      <c r="R3" s="2"/>
      <c r="S3" s="3"/>
      <c r="T3" s="3"/>
      <c r="U3" s="3"/>
      <c r="V3" s="3"/>
      <c r="W3" s="3"/>
      <c r="X3" s="3"/>
      <c r="Y3" s="3"/>
      <c r="Z3" s="3"/>
    </row>
    <row r="4" customFormat="false" ht="12.75" hidden="false" customHeight="false" outlineLevel="0" collapsed="false">
      <c r="A4" s="1" t="s">
        <v>13</v>
      </c>
      <c r="B4" s="2"/>
      <c r="C4" s="1" t="s">
        <v>14</v>
      </c>
      <c r="D4" s="2"/>
      <c r="E4" s="1" t="s">
        <v>15</v>
      </c>
      <c r="F4" s="2"/>
      <c r="G4" s="2"/>
      <c r="H4" s="2"/>
      <c r="I4" s="2"/>
      <c r="J4" s="2"/>
      <c r="K4" s="2"/>
      <c r="L4" s="2"/>
      <c r="M4" s="2"/>
      <c r="N4" s="2"/>
      <c r="O4" s="2"/>
      <c r="P4" s="2"/>
      <c r="Q4" s="2"/>
      <c r="R4" s="2"/>
      <c r="S4" s="3"/>
      <c r="T4" s="3"/>
      <c r="U4" s="3"/>
      <c r="V4" s="3"/>
      <c r="W4" s="3"/>
      <c r="X4" s="3"/>
      <c r="Y4" s="3"/>
      <c r="Z4" s="3"/>
    </row>
    <row r="5" customFormat="false" ht="12.75" hidden="false" customHeight="false" outlineLevel="0" collapsed="false">
      <c r="A5" s="1" t="s">
        <v>16</v>
      </c>
      <c r="B5" s="2"/>
      <c r="C5" s="1" t="s">
        <v>17</v>
      </c>
      <c r="D5" s="2"/>
      <c r="E5" s="1" t="s">
        <v>15</v>
      </c>
      <c r="F5" s="2"/>
      <c r="G5" s="2"/>
      <c r="H5" s="2"/>
      <c r="I5" s="2"/>
      <c r="J5" s="2"/>
      <c r="K5" s="2"/>
      <c r="L5" s="2"/>
      <c r="M5" s="2"/>
      <c r="N5" s="2"/>
      <c r="O5" s="2"/>
      <c r="P5" s="2"/>
      <c r="Q5" s="2"/>
      <c r="R5" s="2"/>
      <c r="S5" s="3"/>
      <c r="T5" s="3"/>
      <c r="U5" s="3"/>
      <c r="V5" s="3"/>
      <c r="W5" s="3"/>
      <c r="X5" s="3"/>
      <c r="Y5" s="3"/>
      <c r="Z5" s="3"/>
    </row>
    <row r="6" customFormat="false" ht="12.75" hidden="false" customHeight="false" outlineLevel="0" collapsed="false">
      <c r="A6" s="1" t="s">
        <v>18</v>
      </c>
      <c r="B6" s="2"/>
      <c r="C6" s="1" t="s">
        <v>19</v>
      </c>
      <c r="D6" s="5" t="s">
        <v>20</v>
      </c>
      <c r="E6" s="2"/>
      <c r="F6" s="2"/>
      <c r="G6" s="2"/>
      <c r="H6" s="2"/>
      <c r="I6" s="2"/>
      <c r="J6" s="2"/>
      <c r="K6" s="2"/>
      <c r="L6" s="2"/>
      <c r="M6" s="2"/>
      <c r="N6" s="2"/>
      <c r="O6" s="2"/>
      <c r="P6" s="2"/>
      <c r="Q6" s="2"/>
      <c r="R6" s="2"/>
      <c r="S6" s="3"/>
      <c r="T6" s="3"/>
      <c r="U6" s="3"/>
      <c r="V6" s="3"/>
      <c r="W6" s="3"/>
      <c r="X6" s="3"/>
      <c r="Y6" s="3"/>
      <c r="Z6" s="3"/>
    </row>
    <row r="7" customFormat="false" ht="12.75" hidden="false" customHeight="false" outlineLevel="0" collapsed="false">
      <c r="A7" s="1" t="s">
        <v>21</v>
      </c>
      <c r="B7" s="2"/>
      <c r="C7" s="1" t="s">
        <v>22</v>
      </c>
      <c r="D7" s="5" t="s">
        <v>20</v>
      </c>
      <c r="E7" s="2"/>
      <c r="F7" s="2"/>
      <c r="G7" s="2"/>
      <c r="H7" s="2"/>
      <c r="I7" s="2"/>
      <c r="J7" s="2"/>
      <c r="K7" s="2"/>
      <c r="L7" s="2"/>
      <c r="M7" s="2"/>
      <c r="N7" s="2"/>
      <c r="O7" s="2"/>
      <c r="P7" s="2"/>
      <c r="Q7" s="2"/>
      <c r="R7" s="2"/>
      <c r="S7" s="3"/>
      <c r="T7" s="3"/>
      <c r="U7" s="3"/>
      <c r="V7" s="3"/>
      <c r="W7" s="3"/>
      <c r="X7" s="3"/>
      <c r="Y7" s="3"/>
      <c r="Z7" s="3"/>
    </row>
    <row r="8" customFormat="false" ht="12.75" hidden="false" customHeight="false" outlineLevel="0" collapsed="false">
      <c r="A8" s="1" t="s">
        <v>23</v>
      </c>
      <c r="B8" s="2"/>
      <c r="C8" s="1" t="s">
        <v>24</v>
      </c>
      <c r="D8" s="5" t="s">
        <v>20</v>
      </c>
      <c r="E8" s="2"/>
      <c r="F8" s="2"/>
      <c r="G8" s="2"/>
      <c r="H8" s="2"/>
      <c r="I8" s="2"/>
      <c r="J8" s="2"/>
      <c r="K8" s="2"/>
      <c r="L8" s="2"/>
      <c r="M8" s="2"/>
      <c r="N8" s="2"/>
      <c r="O8" s="2"/>
      <c r="P8" s="2"/>
      <c r="Q8" s="2"/>
      <c r="R8" s="2"/>
      <c r="S8" s="3"/>
      <c r="T8" s="3"/>
      <c r="U8" s="3"/>
      <c r="V8" s="3"/>
      <c r="W8" s="3"/>
      <c r="X8" s="3"/>
      <c r="Y8" s="3"/>
      <c r="Z8" s="3"/>
    </row>
    <row r="9" customFormat="false" ht="12.75" hidden="false" customHeight="false" outlineLevel="0" collapsed="false">
      <c r="A9" s="1" t="s">
        <v>25</v>
      </c>
      <c r="B9" s="1" t="s">
        <v>26</v>
      </c>
      <c r="C9" s="2"/>
      <c r="D9" s="6" t="s">
        <v>20</v>
      </c>
      <c r="E9" s="2"/>
      <c r="F9" s="2"/>
      <c r="G9" s="2"/>
      <c r="H9" s="1" t="s">
        <v>27</v>
      </c>
      <c r="I9" s="2"/>
      <c r="J9" s="2"/>
      <c r="K9" s="7" t="n">
        <v>1</v>
      </c>
      <c r="L9" s="7" t="n">
        <v>1</v>
      </c>
      <c r="M9" s="7" t="n">
        <v>0</v>
      </c>
      <c r="N9" s="7" t="n">
        <v>4</v>
      </c>
      <c r="O9" s="7" t="n">
        <v>4</v>
      </c>
      <c r="P9" s="1" t="s">
        <v>28</v>
      </c>
      <c r="Q9" s="1" t="s">
        <v>29</v>
      </c>
      <c r="R9" s="2" t="s">
        <v>30</v>
      </c>
      <c r="S9" s="3"/>
      <c r="T9" s="3"/>
      <c r="U9" s="3"/>
      <c r="V9" s="3"/>
      <c r="W9" s="3"/>
      <c r="X9" s="3"/>
      <c r="Y9" s="3"/>
      <c r="Z9" s="3"/>
    </row>
    <row r="10" customFormat="false" ht="12.75" hidden="false" customHeight="false" outlineLevel="0" collapsed="false">
      <c r="A10" s="2"/>
      <c r="B10" s="1" t="s">
        <v>31</v>
      </c>
      <c r="C10" s="1" t="s">
        <v>32</v>
      </c>
      <c r="D10" s="6"/>
      <c r="E10" s="2"/>
      <c r="F10" s="2"/>
      <c r="G10" s="2"/>
      <c r="H10" s="2"/>
      <c r="I10" s="2"/>
      <c r="J10" s="2"/>
      <c r="K10" s="2"/>
      <c r="L10" s="2"/>
      <c r="M10" s="2"/>
      <c r="N10" s="2"/>
      <c r="O10" s="2"/>
      <c r="P10" s="2"/>
      <c r="Q10" s="2"/>
      <c r="R10" s="2"/>
      <c r="S10" s="3"/>
      <c r="T10" s="3"/>
      <c r="U10" s="3"/>
      <c r="V10" s="3"/>
      <c r="W10" s="3"/>
      <c r="X10" s="3"/>
      <c r="Y10" s="3"/>
      <c r="Z10" s="3"/>
    </row>
    <row r="11" customFormat="false" ht="12.75" hidden="false" customHeight="false" outlineLevel="0" collapsed="false">
      <c r="A11" s="2"/>
      <c r="B11" s="1" t="s">
        <v>33</v>
      </c>
      <c r="C11" s="1" t="s">
        <v>34</v>
      </c>
      <c r="D11" s="6"/>
      <c r="E11" s="2"/>
      <c r="F11" s="2"/>
      <c r="G11" s="2"/>
      <c r="H11" s="2"/>
      <c r="I11" s="2"/>
      <c r="J11" s="2"/>
      <c r="K11" s="2"/>
      <c r="L11" s="2"/>
      <c r="M11" s="2"/>
      <c r="N11" s="2"/>
      <c r="O11" s="2"/>
      <c r="P11" s="2"/>
      <c r="Q11" s="2"/>
      <c r="R11" s="2"/>
      <c r="S11" s="3"/>
      <c r="T11" s="3"/>
      <c r="U11" s="3"/>
      <c r="V11" s="3"/>
      <c r="W11" s="3"/>
      <c r="X11" s="3"/>
      <c r="Y11" s="3"/>
      <c r="Z11" s="3"/>
    </row>
    <row r="12" customFormat="false" ht="12.75" hidden="false" customHeight="false" outlineLevel="0" collapsed="false">
      <c r="A12" s="2"/>
      <c r="B12" s="1" t="s">
        <v>35</v>
      </c>
      <c r="C12" s="1" t="s">
        <v>36</v>
      </c>
      <c r="D12" s="6"/>
      <c r="E12" s="2"/>
      <c r="F12" s="2"/>
      <c r="G12" s="2"/>
      <c r="H12" s="2"/>
      <c r="I12" s="2"/>
      <c r="J12" s="2"/>
      <c r="K12" s="2"/>
      <c r="L12" s="2"/>
      <c r="M12" s="2"/>
      <c r="N12" s="2"/>
      <c r="O12" s="2"/>
      <c r="P12" s="2"/>
      <c r="Q12" s="2"/>
      <c r="R12" s="2"/>
      <c r="S12" s="3"/>
      <c r="T12" s="3"/>
      <c r="U12" s="3"/>
      <c r="V12" s="3"/>
      <c r="W12" s="3"/>
      <c r="X12" s="3"/>
      <c r="Y12" s="3"/>
      <c r="Z12" s="3"/>
    </row>
    <row r="13" customFormat="false" ht="12.75" hidden="false" customHeight="false" outlineLevel="0" collapsed="false">
      <c r="A13" s="1" t="s">
        <v>37</v>
      </c>
      <c r="B13" s="1" t="s">
        <v>38</v>
      </c>
      <c r="C13" s="2"/>
      <c r="D13" s="6" t="s">
        <v>20</v>
      </c>
      <c r="E13" s="2"/>
      <c r="F13" s="2"/>
      <c r="G13" s="2"/>
      <c r="H13" s="1" t="s">
        <v>39</v>
      </c>
      <c r="I13" s="2"/>
      <c r="J13" s="2"/>
      <c r="K13" s="7" t="n">
        <v>1</v>
      </c>
      <c r="L13" s="7" t="n">
        <v>0</v>
      </c>
      <c r="M13" s="7" t="n">
        <v>0</v>
      </c>
      <c r="N13" s="7" t="n">
        <v>4</v>
      </c>
      <c r="O13" s="7" t="n">
        <v>4</v>
      </c>
      <c r="P13" s="1" t="s">
        <v>28</v>
      </c>
      <c r="Q13" s="1" t="s">
        <v>29</v>
      </c>
      <c r="R13" s="2" t="s">
        <v>30</v>
      </c>
      <c r="S13" s="3"/>
      <c r="T13" s="3"/>
      <c r="U13" s="3"/>
      <c r="V13" s="3"/>
      <c r="W13" s="3"/>
      <c r="X13" s="3"/>
      <c r="Y13" s="3"/>
      <c r="Z13" s="3"/>
    </row>
    <row r="14" customFormat="false" ht="12.75" hidden="false" customHeight="false" outlineLevel="0" collapsed="false">
      <c r="A14" s="2"/>
      <c r="B14" s="1" t="s">
        <v>31</v>
      </c>
      <c r="C14" s="1" t="s">
        <v>32</v>
      </c>
      <c r="D14" s="6"/>
      <c r="E14" s="2"/>
      <c r="F14" s="2"/>
      <c r="G14" s="2"/>
      <c r="H14" s="2"/>
      <c r="I14" s="2"/>
      <c r="J14" s="2"/>
      <c r="K14" s="2"/>
      <c r="L14" s="2"/>
      <c r="M14" s="2"/>
      <c r="N14" s="2"/>
      <c r="O14" s="2"/>
      <c r="P14" s="2"/>
      <c r="Q14" s="2"/>
      <c r="R14" s="2"/>
      <c r="S14" s="3"/>
      <c r="T14" s="3"/>
      <c r="U14" s="3"/>
      <c r="V14" s="3"/>
      <c r="W14" s="3"/>
      <c r="X14" s="3"/>
      <c r="Y14" s="3"/>
      <c r="Z14" s="3"/>
    </row>
    <row r="15" customFormat="false" ht="12.75" hidden="false" customHeight="false" outlineLevel="0" collapsed="false">
      <c r="A15" s="2"/>
      <c r="B15" s="1" t="s">
        <v>33</v>
      </c>
      <c r="C15" s="1" t="s">
        <v>34</v>
      </c>
      <c r="D15" s="6"/>
      <c r="E15" s="2"/>
      <c r="F15" s="2"/>
      <c r="G15" s="2"/>
      <c r="H15" s="2"/>
      <c r="I15" s="2"/>
      <c r="J15" s="2"/>
      <c r="K15" s="2"/>
      <c r="L15" s="2"/>
      <c r="M15" s="2"/>
      <c r="N15" s="2"/>
      <c r="O15" s="2"/>
      <c r="P15" s="2"/>
      <c r="Q15" s="2"/>
      <c r="R15" s="2"/>
      <c r="S15" s="3"/>
      <c r="T15" s="3"/>
      <c r="U15" s="3"/>
      <c r="V15" s="3"/>
      <c r="W15" s="3"/>
      <c r="X15" s="3"/>
      <c r="Y15" s="3"/>
      <c r="Z15" s="3"/>
    </row>
    <row r="16" customFormat="false" ht="12.75" hidden="false" customHeight="false" outlineLevel="0" collapsed="false">
      <c r="A16" s="2"/>
      <c r="B16" s="1" t="s">
        <v>35</v>
      </c>
      <c r="C16" s="1" t="s">
        <v>36</v>
      </c>
      <c r="D16" s="6"/>
      <c r="E16" s="2"/>
      <c r="F16" s="2"/>
      <c r="G16" s="2"/>
      <c r="H16" s="2"/>
      <c r="I16" s="2"/>
      <c r="J16" s="2"/>
      <c r="K16" s="2"/>
      <c r="L16" s="2"/>
      <c r="M16" s="2"/>
      <c r="N16" s="2"/>
      <c r="O16" s="2"/>
      <c r="P16" s="2"/>
      <c r="Q16" s="2"/>
      <c r="R16" s="2"/>
      <c r="S16" s="3"/>
      <c r="T16" s="3"/>
      <c r="U16" s="3"/>
      <c r="V16" s="3"/>
      <c r="W16" s="3"/>
      <c r="X16" s="3"/>
      <c r="Y16" s="3"/>
      <c r="Z16" s="3"/>
    </row>
    <row r="17" customFormat="false" ht="12.75" hidden="false" customHeight="false" outlineLevel="0" collapsed="false">
      <c r="A17" s="1" t="s">
        <v>40</v>
      </c>
      <c r="B17" s="1" t="s">
        <v>41</v>
      </c>
      <c r="C17" s="2"/>
      <c r="D17" s="6" t="s">
        <v>20</v>
      </c>
      <c r="E17" s="2"/>
      <c r="F17" s="2"/>
      <c r="G17" s="2"/>
      <c r="H17" s="2"/>
      <c r="I17" s="2"/>
      <c r="J17" s="2"/>
      <c r="K17" s="2"/>
      <c r="L17" s="2"/>
      <c r="M17" s="2"/>
      <c r="N17" s="2"/>
      <c r="O17" s="2"/>
      <c r="P17" s="2"/>
      <c r="Q17" s="2"/>
      <c r="R17" s="2"/>
      <c r="S17" s="3"/>
      <c r="T17" s="3"/>
      <c r="U17" s="3"/>
      <c r="V17" s="3"/>
      <c r="W17" s="3"/>
      <c r="X17" s="3"/>
      <c r="Y17" s="3"/>
      <c r="Z17" s="3"/>
    </row>
    <row r="18" customFormat="false" ht="12.75" hidden="false" customHeight="false" outlineLevel="0" collapsed="false">
      <c r="A18" s="2"/>
      <c r="B18" s="1" t="s">
        <v>31</v>
      </c>
      <c r="C18" s="1" t="s">
        <v>42</v>
      </c>
      <c r="D18" s="6"/>
      <c r="E18" s="2"/>
      <c r="F18" s="2"/>
      <c r="G18" s="2"/>
      <c r="H18" s="1" t="s">
        <v>43</v>
      </c>
      <c r="I18" s="2"/>
      <c r="J18" s="2"/>
      <c r="K18" s="7" t="n">
        <v>1</v>
      </c>
      <c r="L18" s="7" t="n">
        <v>1</v>
      </c>
      <c r="M18" s="7" t="n">
        <v>0</v>
      </c>
      <c r="N18" s="7" t="n">
        <v>2</v>
      </c>
      <c r="O18" s="7" t="n">
        <v>4</v>
      </c>
      <c r="P18" s="1" t="s">
        <v>28</v>
      </c>
      <c r="Q18" s="1" t="s">
        <v>29</v>
      </c>
      <c r="R18" s="2" t="s">
        <v>30</v>
      </c>
      <c r="S18" s="3"/>
      <c r="T18" s="3"/>
      <c r="U18" s="3"/>
      <c r="V18" s="3"/>
      <c r="W18" s="3"/>
      <c r="X18" s="3"/>
      <c r="Y18" s="3"/>
      <c r="Z18" s="3"/>
    </row>
    <row r="19" customFormat="false" ht="12.75" hidden="false" customHeight="false" outlineLevel="0" collapsed="false">
      <c r="A19" s="2"/>
      <c r="B19" s="1" t="s">
        <v>33</v>
      </c>
      <c r="C19" s="1" t="s">
        <v>44</v>
      </c>
      <c r="D19" s="6"/>
      <c r="E19" s="2"/>
      <c r="F19" s="2"/>
      <c r="G19" s="2"/>
      <c r="H19" s="2"/>
      <c r="I19" s="2"/>
      <c r="J19" s="2"/>
      <c r="K19" s="2"/>
      <c r="L19" s="2"/>
      <c r="M19" s="2"/>
      <c r="N19" s="2"/>
      <c r="O19" s="2"/>
      <c r="P19" s="2"/>
      <c r="Q19" s="2"/>
      <c r="R19" s="2"/>
      <c r="S19" s="3"/>
      <c r="T19" s="3"/>
      <c r="U19" s="3"/>
      <c r="V19" s="3"/>
      <c r="W19" s="3"/>
      <c r="X19" s="3"/>
      <c r="Y19" s="3"/>
      <c r="Z19" s="3"/>
    </row>
    <row r="20" customFormat="false" ht="12.75" hidden="false" customHeight="false" outlineLevel="0" collapsed="false">
      <c r="A20" s="2"/>
      <c r="B20" s="1" t="s">
        <v>35</v>
      </c>
      <c r="C20" s="1" t="s">
        <v>36</v>
      </c>
      <c r="D20" s="6"/>
      <c r="E20" s="2"/>
      <c r="F20" s="2"/>
      <c r="G20" s="2"/>
      <c r="H20" s="2"/>
      <c r="I20" s="2"/>
      <c r="J20" s="2"/>
      <c r="K20" s="2"/>
      <c r="L20" s="2"/>
      <c r="M20" s="2"/>
      <c r="N20" s="2"/>
      <c r="O20" s="2"/>
      <c r="P20" s="2"/>
      <c r="Q20" s="2"/>
      <c r="R20" s="2"/>
      <c r="S20" s="3"/>
      <c r="T20" s="3"/>
      <c r="U20" s="3"/>
      <c r="V20" s="3"/>
      <c r="W20" s="3"/>
      <c r="X20" s="3"/>
      <c r="Y20" s="3"/>
      <c r="Z20" s="3"/>
    </row>
    <row r="21" customFormat="false" ht="12.75" hidden="false" customHeight="false" outlineLevel="0" collapsed="false">
      <c r="A21" s="2"/>
      <c r="B21" s="1" t="s">
        <v>45</v>
      </c>
      <c r="C21" s="1" t="s">
        <v>46</v>
      </c>
      <c r="D21" s="6"/>
      <c r="E21" s="2"/>
      <c r="F21" s="2"/>
      <c r="G21" s="2"/>
      <c r="H21" s="2"/>
      <c r="I21" s="2"/>
      <c r="J21" s="2"/>
      <c r="K21" s="7" t="n">
        <v>1</v>
      </c>
      <c r="L21" s="7" t="n">
        <v>1</v>
      </c>
      <c r="M21" s="7" t="n">
        <v>0</v>
      </c>
      <c r="N21" s="7" t="n">
        <v>8</v>
      </c>
      <c r="O21" s="7" t="n">
        <v>4</v>
      </c>
      <c r="P21" s="1" t="s">
        <v>28</v>
      </c>
      <c r="Q21" s="1" t="s">
        <v>29</v>
      </c>
      <c r="R21" s="2" t="s">
        <v>30</v>
      </c>
      <c r="S21" s="3"/>
      <c r="T21" s="3"/>
      <c r="U21" s="3"/>
      <c r="V21" s="3"/>
      <c r="W21" s="3"/>
      <c r="X21" s="3"/>
      <c r="Y21" s="3"/>
      <c r="Z21" s="3"/>
    </row>
    <row r="22" customFormat="false" ht="12.75" hidden="false" customHeight="false" outlineLevel="0" collapsed="false">
      <c r="A22" s="2"/>
      <c r="B22" s="1" t="s">
        <v>47</v>
      </c>
      <c r="C22" s="1" t="s">
        <v>48</v>
      </c>
      <c r="D22" s="6"/>
      <c r="E22" s="2"/>
      <c r="F22" s="2"/>
      <c r="G22" s="2"/>
      <c r="H22" s="2"/>
      <c r="I22" s="2"/>
      <c r="J22" s="2"/>
      <c r="K22" s="2"/>
      <c r="L22" s="2"/>
      <c r="M22" s="2"/>
      <c r="N22" s="2"/>
      <c r="O22" s="2"/>
      <c r="P22" s="2"/>
      <c r="Q22" s="2"/>
      <c r="R22" s="2"/>
      <c r="S22" s="3"/>
      <c r="T22" s="3"/>
      <c r="U22" s="3"/>
      <c r="V22" s="3"/>
      <c r="W22" s="3"/>
      <c r="X22" s="3"/>
      <c r="Y22" s="3"/>
      <c r="Z22" s="3"/>
    </row>
    <row r="23" customFormat="false" ht="12.75" hidden="false" customHeight="false" outlineLevel="0" collapsed="false">
      <c r="A23" s="2"/>
      <c r="B23" s="1" t="s">
        <v>49</v>
      </c>
      <c r="C23" s="1" t="s">
        <v>50</v>
      </c>
      <c r="D23" s="6"/>
      <c r="E23" s="2"/>
      <c r="F23" s="2"/>
      <c r="G23" s="2"/>
      <c r="H23" s="2"/>
      <c r="I23" s="2"/>
      <c r="J23" s="2"/>
      <c r="K23" s="2"/>
      <c r="L23" s="2"/>
      <c r="M23" s="2"/>
      <c r="N23" s="2"/>
      <c r="O23" s="2"/>
      <c r="P23" s="2"/>
      <c r="Q23" s="2"/>
      <c r="R23" s="2"/>
      <c r="S23" s="3"/>
      <c r="T23" s="3"/>
      <c r="U23" s="3"/>
      <c r="V23" s="3"/>
      <c r="W23" s="3"/>
      <c r="X23" s="3"/>
      <c r="Y23" s="3"/>
      <c r="Z23" s="3"/>
    </row>
    <row r="24" customFormat="false" ht="12.75" hidden="false" customHeight="false" outlineLevel="0" collapsed="false">
      <c r="A24" s="1" t="s">
        <v>51</v>
      </c>
      <c r="B24" s="1" t="s">
        <v>52</v>
      </c>
      <c r="C24" s="2"/>
      <c r="D24" s="6" t="s">
        <v>53</v>
      </c>
      <c r="E24" s="2"/>
      <c r="F24" s="2"/>
      <c r="G24" s="2"/>
      <c r="H24" s="2" t="s">
        <v>54</v>
      </c>
      <c r="I24" s="2"/>
      <c r="J24" s="2"/>
      <c r="K24" s="7" t="n">
        <v>0</v>
      </c>
      <c r="L24" s="7" t="n">
        <v>1</v>
      </c>
      <c r="M24" s="7" t="n">
        <v>0</v>
      </c>
      <c r="N24" s="7" t="n">
        <v>4</v>
      </c>
      <c r="O24" s="7" t="n">
        <v>4</v>
      </c>
      <c r="P24" s="1" t="s">
        <v>28</v>
      </c>
      <c r="Q24" s="1" t="s">
        <v>29</v>
      </c>
      <c r="R24" s="2" t="s">
        <v>30</v>
      </c>
      <c r="S24" s="3"/>
      <c r="T24" s="3"/>
      <c r="U24" s="3"/>
      <c r="V24" s="3"/>
      <c r="W24" s="3"/>
      <c r="X24" s="3"/>
      <c r="Y24" s="3"/>
      <c r="Z24" s="3"/>
    </row>
    <row r="25" customFormat="false" ht="12.75" hidden="false" customHeight="false" outlineLevel="0" collapsed="false">
      <c r="A25" s="2"/>
      <c r="B25" s="1" t="s">
        <v>31</v>
      </c>
      <c r="C25" s="1" t="s">
        <v>32</v>
      </c>
      <c r="D25" s="6"/>
      <c r="E25" s="2"/>
      <c r="F25" s="2"/>
      <c r="G25" s="2"/>
      <c r="H25" s="2"/>
      <c r="I25" s="2"/>
      <c r="J25" s="2"/>
      <c r="K25" s="2"/>
      <c r="L25" s="2"/>
      <c r="M25" s="2"/>
      <c r="N25" s="2"/>
      <c r="O25" s="2"/>
      <c r="P25" s="2"/>
      <c r="Q25" s="2"/>
      <c r="R25" s="2"/>
      <c r="S25" s="3"/>
      <c r="T25" s="3"/>
      <c r="U25" s="3"/>
      <c r="V25" s="3"/>
      <c r="W25" s="3"/>
      <c r="X25" s="3"/>
      <c r="Y25" s="3"/>
      <c r="Z25" s="3"/>
    </row>
    <row r="26" customFormat="false" ht="12.75" hidden="false" customHeight="false" outlineLevel="0" collapsed="false">
      <c r="A26" s="2"/>
      <c r="B26" s="1" t="s">
        <v>33</v>
      </c>
      <c r="C26" s="1" t="s">
        <v>34</v>
      </c>
      <c r="D26" s="6"/>
      <c r="E26" s="2"/>
      <c r="F26" s="2"/>
      <c r="G26" s="2"/>
      <c r="H26" s="2"/>
      <c r="I26" s="2"/>
      <c r="J26" s="2"/>
      <c r="K26" s="2"/>
      <c r="L26" s="2"/>
      <c r="M26" s="2"/>
      <c r="N26" s="2"/>
      <c r="O26" s="2"/>
      <c r="P26" s="2"/>
      <c r="Q26" s="2"/>
      <c r="R26" s="2"/>
      <c r="S26" s="3"/>
      <c r="T26" s="3"/>
      <c r="U26" s="3"/>
      <c r="V26" s="3"/>
      <c r="W26" s="3"/>
      <c r="X26" s="3"/>
      <c r="Y26" s="3"/>
      <c r="Z26" s="3"/>
    </row>
    <row r="27" customFormat="false" ht="12.75" hidden="false" customHeight="false" outlineLevel="0" collapsed="false">
      <c r="A27" s="2"/>
      <c r="B27" s="1" t="s">
        <v>35</v>
      </c>
      <c r="C27" s="1" t="s">
        <v>36</v>
      </c>
      <c r="D27" s="6"/>
      <c r="E27" s="2"/>
      <c r="F27" s="2"/>
      <c r="G27" s="2"/>
      <c r="H27" s="2"/>
      <c r="I27" s="2"/>
      <c r="J27" s="2"/>
      <c r="K27" s="2"/>
      <c r="L27" s="2"/>
      <c r="M27" s="2"/>
      <c r="N27" s="2"/>
      <c r="O27" s="2"/>
      <c r="P27" s="2"/>
      <c r="Q27" s="2"/>
      <c r="R27" s="2"/>
      <c r="S27" s="3"/>
      <c r="T27" s="3"/>
      <c r="U27" s="3"/>
      <c r="V27" s="3"/>
      <c r="W27" s="3"/>
      <c r="X27" s="3"/>
      <c r="Y27" s="3"/>
      <c r="Z27" s="3"/>
    </row>
    <row r="28" customFormat="false" ht="12.75" hidden="false" customHeight="false" outlineLevel="0" collapsed="false">
      <c r="A28" s="1" t="s">
        <v>55</v>
      </c>
      <c r="B28" s="1" t="s">
        <v>56</v>
      </c>
      <c r="C28" s="2"/>
      <c r="D28" s="6" t="s">
        <v>20</v>
      </c>
      <c r="E28" s="2"/>
      <c r="F28" s="2"/>
      <c r="G28" s="2"/>
      <c r="H28" s="1" t="s">
        <v>57</v>
      </c>
      <c r="I28" s="2"/>
      <c r="J28" s="2"/>
      <c r="K28" s="2"/>
      <c r="L28" s="2"/>
      <c r="M28" s="2"/>
      <c r="N28" s="2"/>
      <c r="O28" s="2"/>
      <c r="P28" s="2"/>
      <c r="Q28" s="2"/>
      <c r="R28" s="2"/>
      <c r="S28" s="3"/>
      <c r="T28" s="3"/>
      <c r="U28" s="3"/>
      <c r="V28" s="3"/>
      <c r="W28" s="3"/>
      <c r="X28" s="3"/>
      <c r="Y28" s="3"/>
      <c r="Z28" s="3"/>
    </row>
    <row r="29" customFormat="false" ht="12.75" hidden="false" customHeight="false" outlineLevel="0" collapsed="false">
      <c r="A29" s="2"/>
      <c r="B29" s="1" t="s">
        <v>31</v>
      </c>
      <c r="C29" s="1" t="s">
        <v>32</v>
      </c>
      <c r="D29" s="6"/>
      <c r="E29" s="2"/>
      <c r="F29" s="2"/>
      <c r="G29" s="2"/>
      <c r="H29" s="2"/>
      <c r="I29" s="2"/>
      <c r="J29" s="2"/>
      <c r="K29" s="7" t="n">
        <v>1</v>
      </c>
      <c r="L29" s="7" t="n">
        <v>1</v>
      </c>
      <c r="M29" s="7" t="n">
        <v>2000</v>
      </c>
      <c r="N29" s="7" t="n">
        <v>4</v>
      </c>
      <c r="O29" s="7" t="n">
        <v>4</v>
      </c>
      <c r="P29" s="1" t="s">
        <v>28</v>
      </c>
      <c r="Q29" s="1" t="s">
        <v>29</v>
      </c>
      <c r="R29" s="2" t="s">
        <v>30</v>
      </c>
      <c r="S29" s="3"/>
      <c r="T29" s="3"/>
      <c r="U29" s="3"/>
      <c r="V29" s="3"/>
      <c r="W29" s="3"/>
      <c r="X29" s="3"/>
      <c r="Y29" s="3"/>
      <c r="Z29" s="3"/>
    </row>
    <row r="30" customFormat="false" ht="12.75" hidden="false" customHeight="false" outlineLevel="0" collapsed="false">
      <c r="A30" s="2"/>
      <c r="B30" s="1" t="s">
        <v>33</v>
      </c>
      <c r="C30" s="1" t="s">
        <v>34</v>
      </c>
      <c r="D30" s="6"/>
      <c r="E30" s="2"/>
      <c r="F30" s="2"/>
      <c r="G30" s="2"/>
      <c r="H30" s="2"/>
      <c r="I30" s="2"/>
      <c r="J30" s="2"/>
      <c r="K30" s="2"/>
      <c r="L30" s="2"/>
      <c r="M30" s="2"/>
      <c r="N30" s="2"/>
      <c r="O30" s="2"/>
      <c r="P30" s="2"/>
      <c r="Q30" s="2"/>
      <c r="R30" s="2"/>
      <c r="S30" s="3"/>
      <c r="T30" s="3"/>
      <c r="U30" s="3"/>
      <c r="V30" s="3"/>
      <c r="W30" s="3"/>
      <c r="X30" s="3"/>
      <c r="Y30" s="3"/>
      <c r="Z30" s="3"/>
    </row>
    <row r="31" customFormat="false" ht="12.75" hidden="false" customHeight="false" outlineLevel="0" collapsed="false">
      <c r="A31" s="2"/>
      <c r="B31" s="1" t="s">
        <v>35</v>
      </c>
      <c r="C31" s="1" t="s">
        <v>36</v>
      </c>
      <c r="D31" s="6"/>
      <c r="E31" s="2"/>
      <c r="F31" s="2"/>
      <c r="G31" s="2"/>
      <c r="H31" s="2"/>
      <c r="I31" s="2"/>
      <c r="J31" s="2"/>
      <c r="K31" s="2"/>
      <c r="L31" s="2"/>
      <c r="M31" s="2"/>
      <c r="N31" s="2"/>
      <c r="O31" s="2"/>
      <c r="P31" s="2"/>
      <c r="Q31" s="2"/>
      <c r="R31" s="2"/>
      <c r="S31" s="3"/>
      <c r="T31" s="3"/>
      <c r="U31" s="3"/>
      <c r="V31" s="3"/>
      <c r="W31" s="3"/>
      <c r="X31" s="3"/>
      <c r="Y31" s="3"/>
      <c r="Z31" s="3"/>
    </row>
    <row r="32" customFormat="false" ht="12.75" hidden="false" customHeight="false" outlineLevel="0" collapsed="false">
      <c r="A32" s="2"/>
      <c r="B32" s="1" t="s">
        <v>45</v>
      </c>
      <c r="C32" s="1" t="s">
        <v>58</v>
      </c>
      <c r="D32" s="6"/>
      <c r="E32" s="2"/>
      <c r="F32" s="2"/>
      <c r="G32" s="2"/>
      <c r="H32" s="2"/>
      <c r="I32" s="2"/>
      <c r="J32" s="2"/>
      <c r="K32" s="7" t="n">
        <v>1</v>
      </c>
      <c r="L32" s="7" t="n">
        <v>1</v>
      </c>
      <c r="M32" s="7" t="n">
        <v>1000</v>
      </c>
      <c r="N32" s="7" t="n">
        <v>4</v>
      </c>
      <c r="O32" s="7" t="n">
        <v>4</v>
      </c>
      <c r="P32" s="1" t="s">
        <v>28</v>
      </c>
      <c r="Q32" s="1" t="s">
        <v>29</v>
      </c>
      <c r="R32" s="2" t="s">
        <v>30</v>
      </c>
      <c r="S32" s="3"/>
      <c r="T32" s="3"/>
      <c r="U32" s="3"/>
      <c r="V32" s="3"/>
      <c r="W32" s="3"/>
      <c r="X32" s="3"/>
      <c r="Y32" s="3"/>
      <c r="Z32" s="3"/>
    </row>
    <row r="33" customFormat="false" ht="12.75" hidden="false" customHeight="false" outlineLevel="0" collapsed="false">
      <c r="A33" s="2"/>
      <c r="B33" s="1" t="s">
        <v>47</v>
      </c>
      <c r="C33" s="1" t="s">
        <v>59</v>
      </c>
      <c r="D33" s="6"/>
      <c r="E33" s="2"/>
      <c r="F33" s="2"/>
      <c r="G33" s="2"/>
      <c r="H33" s="2"/>
      <c r="I33" s="2"/>
      <c r="J33" s="2"/>
      <c r="K33" s="2"/>
      <c r="L33" s="2"/>
      <c r="M33" s="2"/>
      <c r="N33" s="2"/>
      <c r="O33" s="2"/>
      <c r="P33" s="2"/>
      <c r="Q33" s="2"/>
      <c r="R33" s="2"/>
      <c r="S33" s="3"/>
      <c r="T33" s="3"/>
      <c r="U33" s="3"/>
      <c r="V33" s="3"/>
      <c r="W33" s="3"/>
      <c r="X33" s="3"/>
      <c r="Y33" s="3"/>
      <c r="Z33" s="3"/>
    </row>
    <row r="34" customFormat="false" ht="12.75" hidden="false" customHeight="false" outlineLevel="0" collapsed="false">
      <c r="A34" s="2"/>
      <c r="B34" s="1" t="s">
        <v>49</v>
      </c>
      <c r="C34" s="1" t="s">
        <v>50</v>
      </c>
      <c r="D34" s="6"/>
      <c r="E34" s="2"/>
      <c r="F34" s="2"/>
      <c r="G34" s="2"/>
      <c r="H34" s="2"/>
      <c r="I34" s="2"/>
      <c r="J34" s="2"/>
      <c r="K34" s="2"/>
      <c r="L34" s="2"/>
      <c r="M34" s="2"/>
      <c r="N34" s="2"/>
      <c r="O34" s="2"/>
      <c r="P34" s="2"/>
      <c r="Q34" s="2"/>
      <c r="R34" s="2"/>
      <c r="S34" s="3"/>
      <c r="T34" s="3"/>
      <c r="U34" s="3"/>
      <c r="V34" s="3"/>
      <c r="W34" s="3"/>
      <c r="X34" s="3"/>
      <c r="Y34" s="3"/>
      <c r="Z34" s="3"/>
    </row>
    <row r="35" customFormat="false" ht="12.75" hidden="false" customHeight="false" outlineLevel="0" collapsed="false">
      <c r="A35" s="1" t="s">
        <v>60</v>
      </c>
      <c r="B35" s="1" t="s">
        <v>61</v>
      </c>
      <c r="C35" s="2"/>
      <c r="D35" s="6" t="s">
        <v>53</v>
      </c>
      <c r="E35" s="2"/>
      <c r="F35" s="2"/>
      <c r="G35" s="2"/>
      <c r="H35" s="2" t="s">
        <v>62</v>
      </c>
      <c r="I35" s="2"/>
      <c r="J35" s="2"/>
      <c r="K35" s="7" t="n">
        <v>1</v>
      </c>
      <c r="L35" s="7" t="n">
        <v>1</v>
      </c>
      <c r="M35" s="7" t="n">
        <v>0</v>
      </c>
      <c r="N35" s="7" t="n">
        <v>4</v>
      </c>
      <c r="O35" s="7" t="n">
        <v>4</v>
      </c>
      <c r="P35" s="1" t="s">
        <v>28</v>
      </c>
      <c r="Q35" s="1" t="s">
        <v>29</v>
      </c>
      <c r="R35" s="2" t="s">
        <v>63</v>
      </c>
      <c r="S35" s="3"/>
      <c r="T35" s="3"/>
      <c r="U35" s="3"/>
      <c r="V35" s="3"/>
      <c r="W35" s="3"/>
      <c r="X35" s="3"/>
      <c r="Y35" s="3"/>
      <c r="Z35" s="3"/>
    </row>
    <row r="36" customFormat="false" ht="12.75" hidden="false" customHeight="false" outlineLevel="0" collapsed="false">
      <c r="A36" s="2"/>
      <c r="B36" s="1" t="s">
        <v>31</v>
      </c>
      <c r="C36" s="1" t="s">
        <v>64</v>
      </c>
      <c r="D36" s="6"/>
      <c r="E36" s="2"/>
      <c r="F36" s="2"/>
      <c r="G36" s="2"/>
      <c r="H36" s="2"/>
      <c r="I36" s="2"/>
      <c r="J36" s="2"/>
      <c r="K36" s="2"/>
      <c r="L36" s="2"/>
      <c r="M36" s="2"/>
      <c r="N36" s="2"/>
      <c r="O36" s="2"/>
      <c r="P36" s="2"/>
      <c r="Q36" s="2"/>
      <c r="R36" s="2"/>
      <c r="S36" s="3"/>
      <c r="T36" s="3"/>
      <c r="U36" s="3"/>
      <c r="V36" s="3"/>
      <c r="W36" s="3"/>
      <c r="X36" s="3"/>
      <c r="Y36" s="3"/>
      <c r="Z36" s="3"/>
    </row>
    <row r="37" customFormat="false" ht="12.75" hidden="false" customHeight="false" outlineLevel="0" collapsed="false">
      <c r="A37" s="2"/>
      <c r="B37" s="1" t="s">
        <v>33</v>
      </c>
      <c r="C37" s="1" t="s">
        <v>65</v>
      </c>
      <c r="D37" s="6"/>
      <c r="E37" s="2"/>
      <c r="F37" s="2"/>
      <c r="G37" s="2"/>
      <c r="H37" s="2"/>
      <c r="I37" s="2"/>
      <c r="J37" s="2"/>
      <c r="K37" s="2"/>
      <c r="L37" s="2"/>
      <c r="M37" s="2"/>
      <c r="N37" s="2"/>
      <c r="O37" s="2"/>
      <c r="P37" s="2"/>
      <c r="Q37" s="2"/>
      <c r="R37" s="2"/>
      <c r="S37" s="3"/>
      <c r="T37" s="3"/>
      <c r="U37" s="3"/>
      <c r="V37" s="3"/>
      <c r="W37" s="3"/>
      <c r="X37" s="3"/>
      <c r="Y37" s="3"/>
      <c r="Z37" s="3"/>
    </row>
    <row r="38" customFormat="false" ht="12.75" hidden="false" customHeight="false" outlineLevel="0" collapsed="false">
      <c r="A38" s="2"/>
      <c r="B38" s="1" t="s">
        <v>35</v>
      </c>
      <c r="C38" s="1" t="s">
        <v>36</v>
      </c>
      <c r="D38" s="6"/>
      <c r="E38" s="2"/>
      <c r="F38" s="2"/>
      <c r="G38" s="2"/>
      <c r="H38" s="2"/>
      <c r="I38" s="2"/>
      <c r="J38" s="2"/>
      <c r="S38" s="3"/>
      <c r="T38" s="3"/>
      <c r="U38" s="3"/>
      <c r="V38" s="3"/>
      <c r="W38" s="3"/>
      <c r="X38" s="3"/>
      <c r="Y38" s="3"/>
      <c r="Z38" s="3"/>
    </row>
    <row r="39" customFormat="false" ht="12.75" hidden="false" customHeight="false" outlineLevel="0" collapsed="false">
      <c r="A39" s="2"/>
      <c r="B39" s="1" t="s">
        <v>45</v>
      </c>
      <c r="C39" s="1" t="s">
        <v>66</v>
      </c>
      <c r="D39" s="6"/>
      <c r="E39" s="2"/>
      <c r="F39" s="2"/>
      <c r="G39" s="2"/>
      <c r="H39" s="2"/>
      <c r="I39" s="2"/>
      <c r="J39" s="2"/>
      <c r="K39" s="7" t="n">
        <v>1</v>
      </c>
      <c r="L39" s="7" t="n">
        <v>1</v>
      </c>
      <c r="M39" s="7" t="n">
        <v>0</v>
      </c>
      <c r="N39" s="7" t="n">
        <v>4</v>
      </c>
      <c r="O39" s="7" t="n">
        <v>4</v>
      </c>
      <c r="P39" s="1" t="s">
        <v>28</v>
      </c>
      <c r="Q39" s="1" t="s">
        <v>29</v>
      </c>
      <c r="R39" s="2" t="s">
        <v>67</v>
      </c>
      <c r="S39" s="3"/>
      <c r="T39" s="3"/>
      <c r="U39" s="3"/>
      <c r="V39" s="3"/>
      <c r="W39" s="3"/>
      <c r="X39" s="3"/>
      <c r="Y39" s="3"/>
      <c r="Z39" s="3"/>
    </row>
    <row r="40" customFormat="false" ht="12.75" hidden="false" customHeight="false" outlineLevel="0" collapsed="false">
      <c r="A40" s="2"/>
      <c r="B40" s="1" t="s">
        <v>47</v>
      </c>
      <c r="C40" s="1" t="s">
        <v>68</v>
      </c>
      <c r="D40" s="6"/>
      <c r="E40" s="2"/>
      <c r="F40" s="2"/>
      <c r="G40" s="2"/>
      <c r="H40" s="2"/>
      <c r="I40" s="2"/>
      <c r="J40" s="2"/>
      <c r="K40" s="2"/>
      <c r="L40" s="2"/>
      <c r="M40" s="2"/>
      <c r="N40" s="2"/>
      <c r="O40" s="2"/>
      <c r="P40" s="2"/>
      <c r="Q40" s="2"/>
      <c r="R40" s="2"/>
      <c r="S40" s="3"/>
      <c r="T40" s="3"/>
      <c r="U40" s="3"/>
      <c r="V40" s="3"/>
      <c r="W40" s="3"/>
      <c r="X40" s="3"/>
      <c r="Y40" s="3"/>
      <c r="Z40" s="3"/>
    </row>
    <row r="41" customFormat="false" ht="15.75" hidden="false" customHeight="true" outlineLevel="0" collapsed="false">
      <c r="A41" s="2"/>
      <c r="B41" s="1" t="s">
        <v>49</v>
      </c>
      <c r="C41" s="1" t="s">
        <v>50</v>
      </c>
      <c r="D41" s="6"/>
      <c r="E41" s="2"/>
      <c r="F41" s="2"/>
      <c r="G41" s="2"/>
      <c r="H41" s="2"/>
      <c r="I41" s="2"/>
      <c r="J41" s="2"/>
      <c r="K41" s="2"/>
      <c r="L41" s="2"/>
      <c r="M41" s="2"/>
      <c r="N41" s="2"/>
      <c r="O41" s="2"/>
      <c r="P41" s="2"/>
      <c r="Q41" s="2"/>
      <c r="R41" s="2"/>
      <c r="S41" s="3"/>
      <c r="T41" s="3"/>
      <c r="U41" s="3"/>
      <c r="V41" s="3"/>
      <c r="W41" s="3"/>
      <c r="X41" s="3"/>
      <c r="Y41" s="3"/>
      <c r="Z41" s="3"/>
    </row>
    <row r="42" customFormat="false" ht="12.75" hidden="false" customHeight="false" outlineLevel="0" collapsed="false">
      <c r="A42" s="1" t="s">
        <v>69</v>
      </c>
      <c r="B42" s="1" t="s">
        <v>70</v>
      </c>
      <c r="C42" s="1"/>
      <c r="D42" s="6" t="s">
        <v>53</v>
      </c>
      <c r="E42" s="2"/>
      <c r="F42" s="2"/>
      <c r="G42" s="2"/>
      <c r="H42" s="2" t="s">
        <v>71</v>
      </c>
      <c r="I42" s="2"/>
      <c r="J42" s="2"/>
      <c r="K42" s="7" t="n">
        <v>1</v>
      </c>
      <c r="L42" s="7" t="n">
        <v>1</v>
      </c>
      <c r="M42" s="7" t="n">
        <v>0</v>
      </c>
      <c r="N42" s="7" t="n">
        <v>4</v>
      </c>
      <c r="O42" s="7" t="n">
        <v>4</v>
      </c>
      <c r="P42" s="1" t="s">
        <v>28</v>
      </c>
      <c r="Q42" s="1" t="s">
        <v>29</v>
      </c>
      <c r="R42" s="2" t="s">
        <v>30</v>
      </c>
      <c r="S42" s="3"/>
      <c r="T42" s="3"/>
      <c r="U42" s="3"/>
      <c r="V42" s="3"/>
      <c r="W42" s="3"/>
      <c r="X42" s="3"/>
      <c r="Y42" s="3"/>
      <c r="Z42" s="3"/>
    </row>
    <row r="43" customFormat="false" ht="12.75" hidden="false" customHeight="false" outlineLevel="0" collapsed="false">
      <c r="A43" s="2"/>
      <c r="B43" s="1" t="s">
        <v>72</v>
      </c>
      <c r="C43" s="1" t="s">
        <v>73</v>
      </c>
      <c r="D43" s="6"/>
      <c r="E43" s="2"/>
      <c r="F43" s="2"/>
      <c r="G43" s="2"/>
      <c r="H43" s="2"/>
      <c r="I43" s="2"/>
      <c r="J43" s="2"/>
      <c r="K43" s="2"/>
      <c r="L43" s="2"/>
      <c r="M43" s="2"/>
      <c r="N43" s="2"/>
      <c r="O43" s="2"/>
      <c r="P43" s="2"/>
      <c r="Q43" s="2"/>
      <c r="R43" s="2"/>
      <c r="S43" s="3"/>
      <c r="T43" s="3"/>
      <c r="U43" s="3"/>
      <c r="V43" s="3"/>
      <c r="W43" s="3"/>
      <c r="X43" s="3"/>
      <c r="Y43" s="3"/>
      <c r="Z43" s="3"/>
    </row>
    <row r="44" customFormat="false" ht="12.75" hidden="false" customHeight="false" outlineLevel="0" collapsed="false">
      <c r="A44" s="2"/>
      <c r="B44" s="1" t="s">
        <v>74</v>
      </c>
      <c r="C44" s="1" t="s">
        <v>75</v>
      </c>
      <c r="D44" s="6"/>
      <c r="E44" s="2"/>
      <c r="F44" s="2"/>
      <c r="G44" s="2"/>
      <c r="H44" s="2"/>
      <c r="I44" s="2"/>
      <c r="J44" s="2"/>
      <c r="K44" s="2"/>
      <c r="L44" s="2"/>
      <c r="M44" s="2"/>
      <c r="N44" s="2"/>
      <c r="O44" s="2"/>
      <c r="P44" s="2"/>
      <c r="Q44" s="2"/>
      <c r="R44" s="2"/>
      <c r="S44" s="3"/>
      <c r="T44" s="3"/>
      <c r="U44" s="3"/>
      <c r="V44" s="3"/>
      <c r="W44" s="3"/>
      <c r="X44" s="3"/>
      <c r="Y44" s="3"/>
      <c r="Z44" s="3"/>
    </row>
    <row r="45" customFormat="false" ht="12.75" hidden="false" customHeight="false" outlineLevel="0" collapsed="false">
      <c r="A45" s="8" t="s">
        <v>76</v>
      </c>
      <c r="B45" s="8" t="s">
        <v>31</v>
      </c>
      <c r="C45" s="8" t="s">
        <v>77</v>
      </c>
      <c r="D45" s="9" t="s">
        <v>20</v>
      </c>
      <c r="E45" s="8"/>
      <c r="F45" s="8"/>
      <c r="G45" s="8"/>
      <c r="H45" s="8" t="s">
        <v>78</v>
      </c>
      <c r="I45" s="8"/>
      <c r="J45" s="8"/>
      <c r="K45" s="8"/>
      <c r="L45" s="8"/>
      <c r="M45" s="8"/>
      <c r="N45" s="8"/>
      <c r="O45" s="8"/>
      <c r="P45" s="8"/>
      <c r="Q45" s="8"/>
      <c r="R45" s="2"/>
      <c r="S45" s="3"/>
      <c r="T45" s="3"/>
      <c r="U45" s="3"/>
      <c r="V45" s="3"/>
      <c r="W45" s="3"/>
      <c r="X45" s="3"/>
      <c r="Y45" s="3"/>
      <c r="Z45" s="3"/>
    </row>
    <row r="46" customFormat="false" ht="12.75" hidden="false" customHeight="false" outlineLevel="0" collapsed="false">
      <c r="A46" s="8"/>
      <c r="B46" s="8" t="s">
        <v>33</v>
      </c>
      <c r="C46" s="8" t="s">
        <v>79</v>
      </c>
      <c r="D46" s="9"/>
      <c r="E46" s="8"/>
      <c r="F46" s="8"/>
      <c r="G46" s="8"/>
      <c r="H46" s="8"/>
      <c r="I46" s="8"/>
      <c r="J46" s="8"/>
      <c r="K46" s="8"/>
      <c r="L46" s="8"/>
      <c r="M46" s="8"/>
      <c r="N46" s="8"/>
      <c r="O46" s="8"/>
      <c r="P46" s="8"/>
      <c r="Q46" s="8"/>
      <c r="R46" s="2"/>
      <c r="S46" s="3"/>
      <c r="T46" s="3"/>
      <c r="U46" s="3"/>
      <c r="V46" s="3"/>
      <c r="W46" s="3"/>
      <c r="X46" s="3"/>
      <c r="Y46" s="3"/>
      <c r="Z46" s="3"/>
    </row>
    <row r="47" customFormat="false" ht="12.75" hidden="false" customHeight="false" outlineLevel="0" collapsed="false">
      <c r="A47" s="8"/>
      <c r="B47" s="8" t="s">
        <v>35</v>
      </c>
      <c r="C47" s="8" t="s">
        <v>80</v>
      </c>
      <c r="D47" s="9"/>
      <c r="E47" s="8"/>
      <c r="F47" s="8"/>
      <c r="G47" s="8"/>
      <c r="H47" s="8"/>
      <c r="I47" s="8"/>
      <c r="J47" s="8"/>
      <c r="K47" s="8"/>
      <c r="L47" s="8"/>
      <c r="M47" s="8"/>
      <c r="N47" s="8"/>
      <c r="O47" s="8"/>
      <c r="P47" s="8"/>
      <c r="Q47" s="8"/>
      <c r="R47" s="2"/>
      <c r="S47" s="3"/>
      <c r="T47" s="3"/>
      <c r="U47" s="3"/>
      <c r="V47" s="3"/>
      <c r="W47" s="3"/>
      <c r="X47" s="3"/>
      <c r="Y47" s="3"/>
      <c r="Z47" s="3"/>
    </row>
    <row r="48" customFormat="false" ht="12.75" hidden="false" customHeight="false" outlineLevel="0" collapsed="false">
      <c r="A48" s="8"/>
      <c r="B48" s="8" t="s">
        <v>45</v>
      </c>
      <c r="C48" s="8" t="s">
        <v>81</v>
      </c>
      <c r="D48" s="9"/>
      <c r="E48" s="8"/>
      <c r="F48" s="8"/>
      <c r="G48" s="8"/>
      <c r="H48" s="8"/>
      <c r="I48" s="8"/>
      <c r="J48" s="8"/>
      <c r="K48" s="8"/>
      <c r="L48" s="8"/>
      <c r="M48" s="8"/>
      <c r="N48" s="8"/>
      <c r="O48" s="8"/>
      <c r="P48" s="8"/>
      <c r="Q48" s="8"/>
      <c r="R48" s="2"/>
      <c r="S48" s="3"/>
      <c r="T48" s="3"/>
      <c r="U48" s="3"/>
      <c r="V48" s="3"/>
      <c r="W48" s="3"/>
      <c r="X48" s="3"/>
      <c r="Y48" s="3"/>
      <c r="Z48" s="3"/>
    </row>
    <row r="49" customFormat="false" ht="12.75" hidden="false" customHeight="false" outlineLevel="0" collapsed="false">
      <c r="A49" s="1" t="s">
        <v>82</v>
      </c>
      <c r="B49" s="2"/>
      <c r="C49" s="1" t="s">
        <v>83</v>
      </c>
      <c r="D49" s="5" t="s">
        <v>53</v>
      </c>
      <c r="E49" s="2"/>
      <c r="F49" s="2"/>
      <c r="G49" s="2"/>
      <c r="H49" s="2"/>
      <c r="I49" s="2"/>
      <c r="J49" s="2"/>
      <c r="K49" s="2"/>
      <c r="L49" s="2"/>
      <c r="M49" s="2"/>
      <c r="N49" s="2"/>
      <c r="O49" s="2"/>
      <c r="P49" s="2"/>
      <c r="Q49" s="2"/>
      <c r="R49" s="2"/>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D9:D12"/>
    <mergeCell ref="D13:D16"/>
    <mergeCell ref="D17:D23"/>
    <mergeCell ref="D24:D27"/>
    <mergeCell ref="D28:D34"/>
    <mergeCell ref="D35:D41"/>
    <mergeCell ref="D42:D44"/>
    <mergeCell ref="D45:D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26" activeCellId="0" sqref="D26"/>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123</v>
      </c>
    </row>
    <row r="3" customFormat="false" ht="15.75" hidden="false" customHeight="true" outlineLevel="0" collapsed="false">
      <c r="A3" s="10" t="str">
        <f aca="false">CONCATENATE("Title: Changes in average volatility due to measured changes in trade barriers, alternative calibrations (",_xlfn.UNICHAR(963), " = 0.5 and ",_xlfn.UNICHAR(963), " = 1.5)")</f>
        <v>Title: Changes in average volatility due to measured changes in trade barriers, alternative calibrations (σ = 0.5 and σ = 1.5)</v>
      </c>
    </row>
    <row r="5" customFormat="false" ht="15.75" hidden="false" customHeight="true" outlineLevel="0" collapsed="false">
      <c r="B5" s="30" t="str">
        <f aca="false">CONCATENATE(_xlfn.UNICHAR(963)," = 0.5")</f>
        <v>σ = 0.5</v>
      </c>
      <c r="C5" s="30"/>
      <c r="D5" s="30"/>
      <c r="E5" s="30" t="str">
        <f aca="false">CONCATENATE(_xlfn.UNICHAR(963)," = 1.5")</f>
        <v>σ = 1.5</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[15]output_table!F2/100</f>
        <v>-0.0437331057212242</v>
      </c>
      <c r="C7" s="18" t="n">
        <f aca="false">[15]output_table!G2/100</f>
        <v>0.0021949184856248</v>
      </c>
      <c r="D7" s="19" t="n">
        <f aca="false">[15]output_table!H2/100</f>
        <v>-0.045928024206849</v>
      </c>
      <c r="E7" s="17" t="n">
        <f aca="false">[16]output_table!F2/100</f>
        <v>-0.0231987491526708</v>
      </c>
      <c r="F7" s="18" t="n">
        <f aca="false">[16]output_table!G2/100</f>
        <v>-0.00635755623291128</v>
      </c>
      <c r="G7" s="19" t="n">
        <f aca="false">[16]output_table!H2/100</f>
        <v>-0.0168411929197596</v>
      </c>
    </row>
    <row r="8" customFormat="false" ht="15.75" hidden="false" customHeight="true" outlineLevel="0" collapsed="false">
      <c r="A8" s="20" t="s">
        <v>92</v>
      </c>
      <c r="B8" s="21" t="n">
        <f aca="false">[15]output_table!F3/100</f>
        <v>-0.513099050414287</v>
      </c>
      <c r="C8" s="22" t="n">
        <f aca="false">[15]output_table!G3/100</f>
        <v>-0.594441644736992</v>
      </c>
      <c r="D8" s="23" t="n">
        <f aca="false">[15]output_table!H3/100</f>
        <v>0.0813425943227054</v>
      </c>
      <c r="E8" s="21" t="n">
        <f aca="false">[16]output_table!F3/100</f>
        <v>-0.377089679430125</v>
      </c>
      <c r="F8" s="22" t="n">
        <f aca="false">[16]output_table!G3/100</f>
        <v>-1.02886742958135</v>
      </c>
      <c r="G8" s="23" t="n">
        <f aca="false">[16]output_table!H3/100</f>
        <v>0.651777750151224</v>
      </c>
    </row>
    <row r="9" customFormat="false" ht="15.75" hidden="false" customHeight="true" outlineLevel="0" collapsed="false">
      <c r="A9" s="20" t="s">
        <v>93</v>
      </c>
      <c r="B9" s="21" t="n">
        <f aca="false">[15]output_table!F4/100</f>
        <v>-0.722214345607101</v>
      </c>
      <c r="C9" s="22" t="n">
        <f aca="false">[15]output_table!G4/100</f>
        <v>-0.484993181771023</v>
      </c>
      <c r="D9" s="23" t="n">
        <f aca="false">[15]output_table!H4/100</f>
        <v>-0.237221163836077</v>
      </c>
      <c r="E9" s="21" t="n">
        <f aca="false">[16]output_table!F4/100</f>
        <v>-0.628618689270968</v>
      </c>
      <c r="F9" s="22" t="n">
        <f aca="false">[16]output_table!G4/100</f>
        <v>-0.677648065904077</v>
      </c>
      <c r="G9" s="23" t="n">
        <f aca="false">[16]output_table!H4/100</f>
        <v>0.0490293766331088</v>
      </c>
    </row>
    <row r="10" customFormat="false" ht="15.75" hidden="false" customHeight="true" outlineLevel="0" collapsed="false">
      <c r="A10" s="20" t="s">
        <v>94</v>
      </c>
      <c r="B10" s="21" t="n">
        <f aca="false">[15]output_table!F5/100</f>
        <v>-0.745255934972134</v>
      </c>
      <c r="C10" s="22" t="n">
        <f aca="false">[15]output_table!G5/100</f>
        <v>-0.523223241407493</v>
      </c>
      <c r="D10" s="23" t="n">
        <f aca="false">[15]output_table!H5/100</f>
        <v>-0.222032693564641</v>
      </c>
      <c r="E10" s="21" t="n">
        <f aca="false">[16]output_table!F5/100</f>
        <v>-0.677642773482324</v>
      </c>
      <c r="F10" s="22" t="n">
        <f aca="false">[16]output_table!G5/100</f>
        <v>-0.769031683010256</v>
      </c>
      <c r="G10" s="23" t="n">
        <f aca="false">[16]output_table!H5/100</f>
        <v>0.0913889095279318</v>
      </c>
    </row>
    <row r="11" customFormat="false" ht="15.75" hidden="false" customHeight="true" outlineLevel="0" collapsed="false">
      <c r="A11" s="20" t="s">
        <v>95</v>
      </c>
      <c r="B11" s="21" t="n">
        <f aca="false">[15]output_table!F6/100</f>
        <v>0.0258721911279002</v>
      </c>
      <c r="C11" s="22" t="n">
        <f aca="false">[15]output_table!G6/100</f>
        <v>-0.0494567543537128</v>
      </c>
      <c r="D11" s="23" t="n">
        <f aca="false">[15]output_table!H6/100</f>
        <v>0.0753289454816127</v>
      </c>
      <c r="E11" s="21" t="n">
        <f aca="false">[16]output_table!F6/100</f>
        <v>0.00385757162658495</v>
      </c>
      <c r="F11" s="22" t="n">
        <f aca="false">[16]output_table!G6/100</f>
        <v>-0.00132035071272213</v>
      </c>
      <c r="G11" s="23" t="n">
        <f aca="false">[16]output_table!H6/100</f>
        <v>0.00517792233930708</v>
      </c>
    </row>
    <row r="12" customFormat="false" ht="15.75" hidden="false" customHeight="true" outlineLevel="0" collapsed="false">
      <c r="A12" s="20" t="s">
        <v>96</v>
      </c>
      <c r="B12" s="21" t="n">
        <f aca="false">[15]output_table!F7/100</f>
        <v>-0.370915028133695</v>
      </c>
      <c r="C12" s="22" t="n">
        <f aca="false">[15]output_table!G7/100</f>
        <v>-1.3091611222525</v>
      </c>
      <c r="D12" s="23" t="n">
        <f aca="false">[15]output_table!H7/100</f>
        <v>0.938246094118801</v>
      </c>
      <c r="E12" s="21" t="n">
        <f aca="false">[16]output_table!F7/100</f>
        <v>-0.350071531786577</v>
      </c>
      <c r="F12" s="22" t="n">
        <f aca="false">[16]output_table!G7/100</f>
        <v>-0.328346733353409</v>
      </c>
      <c r="G12" s="23" t="n">
        <f aca="false">[16]output_table!H7/100</f>
        <v>-0.0217247984331684</v>
      </c>
    </row>
    <row r="13" customFormat="false" ht="15.75" hidden="false" customHeight="true" outlineLevel="0" collapsed="false">
      <c r="A13" s="20" t="s">
        <v>97</v>
      </c>
      <c r="B13" s="21" t="n">
        <f aca="false">[15]output_table!F8/100</f>
        <v>-0.802448798269329</v>
      </c>
      <c r="C13" s="22" t="n">
        <f aca="false">[15]output_table!G8/100</f>
        <v>-0.135050976462384</v>
      </c>
      <c r="D13" s="23" t="n">
        <f aca="false">[15]output_table!H8/100</f>
        <v>-0.667397821806945</v>
      </c>
      <c r="E13" s="21" t="n">
        <f aca="false">[16]output_table!F8/100</f>
        <v>-0.822221406360923</v>
      </c>
      <c r="F13" s="22" t="n">
        <f aca="false">[16]output_table!G8/100</f>
        <v>-0.419110620037622</v>
      </c>
      <c r="G13" s="23" t="n">
        <f aca="false">[16]output_table!H8/100</f>
        <v>-0.403110786323301</v>
      </c>
    </row>
    <row r="14" customFormat="false" ht="15.75" hidden="false" customHeight="true" outlineLevel="0" collapsed="false">
      <c r="A14" s="20" t="s">
        <v>98</v>
      </c>
      <c r="B14" s="21" t="n">
        <f aca="false">[15]output_table!F9/100</f>
        <v>-0.38551485474784</v>
      </c>
      <c r="C14" s="22" t="n">
        <f aca="false">[15]output_table!G9/100</f>
        <v>-0.286298828956188</v>
      </c>
      <c r="D14" s="23" t="n">
        <f aca="false">[15]output_table!H9/100</f>
        <v>-0.0992160257916519</v>
      </c>
      <c r="E14" s="21" t="n">
        <f aca="false">[16]output_table!F9/100</f>
        <v>-0.386951169846288</v>
      </c>
      <c r="F14" s="22" t="n">
        <f aca="false">[16]output_table!G9/100</f>
        <v>-0.487433144736644</v>
      </c>
      <c r="G14" s="23" t="n">
        <f aca="false">[16]output_table!H9/100</f>
        <v>0.100481974890357</v>
      </c>
    </row>
    <row r="15" customFormat="false" ht="15.75" hidden="false" customHeight="true" outlineLevel="0" collapsed="false">
      <c r="A15" s="20" t="s">
        <v>99</v>
      </c>
      <c r="B15" s="21" t="n">
        <f aca="false">[15]output_table!F10/100</f>
        <v>-0.219039232776394</v>
      </c>
      <c r="C15" s="22" t="n">
        <f aca="false">[15]output_table!G10/100</f>
        <v>0.378334681910329</v>
      </c>
      <c r="D15" s="23" t="n">
        <f aca="false">[15]output_table!H10/100</f>
        <v>-0.597373914686722</v>
      </c>
      <c r="E15" s="21" t="n">
        <f aca="false">[16]output_table!F10/100</f>
        <v>-0.216766231712592</v>
      </c>
      <c r="F15" s="22" t="n">
        <f aca="false">[16]output_table!G10/100</f>
        <v>0.202977247668418</v>
      </c>
      <c r="G15" s="23" t="n">
        <f aca="false">[16]output_table!H10/100</f>
        <v>-0.41974347938101</v>
      </c>
    </row>
    <row r="16" customFormat="false" ht="15.75" hidden="false" customHeight="true" outlineLevel="0" collapsed="false">
      <c r="A16" s="20" t="s">
        <v>100</v>
      </c>
      <c r="B16" s="21" t="n">
        <f aca="false">[15]output_table!F11/100</f>
        <v>-0.436721162441733</v>
      </c>
      <c r="C16" s="22" t="n">
        <f aca="false">[15]output_table!G11/100</f>
        <v>-0.0870472459793691</v>
      </c>
      <c r="D16" s="23" t="n">
        <f aca="false">[15]output_table!H11/100</f>
        <v>-0.349673916462364</v>
      </c>
      <c r="E16" s="21" t="n">
        <f aca="false">[16]output_table!F11/100</f>
        <v>-0.619072501389762</v>
      </c>
      <c r="F16" s="22" t="n">
        <f aca="false">[16]output_table!G11/100</f>
        <v>-0.852075934332298</v>
      </c>
      <c r="G16" s="23" t="n">
        <f aca="false">[16]output_table!H11/100</f>
        <v>0.233003432942536</v>
      </c>
    </row>
    <row r="17" customFormat="false" ht="15.75" hidden="false" customHeight="true" outlineLevel="0" collapsed="false">
      <c r="A17" s="20" t="s">
        <v>101</v>
      </c>
      <c r="B17" s="21" t="n">
        <f aca="false">[15]output_table!F12/100</f>
        <v>-0.301542399704959</v>
      </c>
      <c r="C17" s="22" t="n">
        <f aca="false">[15]output_table!G12/100</f>
        <v>0.313868745623727</v>
      </c>
      <c r="D17" s="23" t="n">
        <f aca="false">[15]output_table!H12/100</f>
        <v>-0.615411145328686</v>
      </c>
      <c r="E17" s="21" t="n">
        <f aca="false">[16]output_table!F12/100</f>
        <v>-0.0987829407125928</v>
      </c>
      <c r="F17" s="22" t="n">
        <f aca="false">[16]output_table!G12/100</f>
        <v>0.140664425936309</v>
      </c>
      <c r="G17" s="23" t="n">
        <f aca="false">[16]output_table!H12/100</f>
        <v>-0.239447366648902</v>
      </c>
    </row>
    <row r="18" customFormat="false" ht="15.75" hidden="false" customHeight="true" outlineLevel="0" collapsed="false">
      <c r="A18" s="20" t="s">
        <v>102</v>
      </c>
      <c r="B18" s="21" t="n">
        <f aca="false">[15]output_table!F13/100</f>
        <v>-0.328391702315125</v>
      </c>
      <c r="C18" s="22" t="n">
        <f aca="false">[15]output_table!G13/100</f>
        <v>-0.293304594133641</v>
      </c>
      <c r="D18" s="23" t="n">
        <f aca="false">[15]output_table!H13/100</f>
        <v>-0.0350871081814841</v>
      </c>
      <c r="E18" s="21" t="n">
        <f aca="false">[16]output_table!F13/100</f>
        <v>-0.0685891474864828</v>
      </c>
      <c r="F18" s="22" t="n">
        <f aca="false">[16]output_table!G13/100</f>
        <v>-0.0199049729104541</v>
      </c>
      <c r="G18" s="23" t="n">
        <f aca="false">[16]output_table!H13/100</f>
        <v>-0.0486841745760287</v>
      </c>
    </row>
    <row r="19" customFormat="false" ht="15.75" hidden="false" customHeight="true" outlineLevel="0" collapsed="false">
      <c r="A19" s="20" t="s">
        <v>103</v>
      </c>
      <c r="B19" s="21" t="n">
        <f aca="false">[15]output_table!F14/100</f>
        <v>-0.582340883173942</v>
      </c>
      <c r="C19" s="22" t="n">
        <f aca="false">[15]output_table!G14/100</f>
        <v>-0.297507633068765</v>
      </c>
      <c r="D19" s="23" t="n">
        <f aca="false">[15]output_table!H14/100</f>
        <v>-0.284833250105177</v>
      </c>
      <c r="E19" s="21" t="n">
        <f aca="false">[16]output_table!F14/100</f>
        <v>-0.594397653718879</v>
      </c>
      <c r="F19" s="22" t="n">
        <f aca="false">[16]output_table!G14/100</f>
        <v>-0.448937456946869</v>
      </c>
      <c r="G19" s="23" t="n">
        <f aca="false">[16]output_table!H14/100</f>
        <v>-0.14546019677201</v>
      </c>
    </row>
    <row r="20" customFormat="false" ht="15.75" hidden="false" customHeight="true" outlineLevel="0" collapsed="false">
      <c r="A20" s="20" t="s">
        <v>104</v>
      </c>
      <c r="B20" s="21" t="n">
        <f aca="false">[15]output_table!F15/100</f>
        <v>-0.269383213720629</v>
      </c>
      <c r="C20" s="22" t="n">
        <f aca="false">[15]output_table!G15/100</f>
        <v>0.37648985254093</v>
      </c>
      <c r="D20" s="23" t="n">
        <f aca="false">[15]output_table!H15/100</f>
        <v>-0.645873066261559</v>
      </c>
      <c r="E20" s="21" t="n">
        <f aca="false">[16]output_table!F15/100</f>
        <v>-0.229194878821356</v>
      </c>
      <c r="F20" s="22" t="n">
        <f aca="false">[16]output_table!G15/100</f>
        <v>0.194174150285038</v>
      </c>
      <c r="G20" s="23" t="n">
        <f aca="false">[16]output_table!H15/100</f>
        <v>-0.423369029106393</v>
      </c>
    </row>
    <row r="21" customFormat="false" ht="15.75" hidden="false" customHeight="true" outlineLevel="0" collapsed="false">
      <c r="A21" s="20" t="s">
        <v>105</v>
      </c>
      <c r="B21" s="21" t="n">
        <f aca="false">[15]output_table!F16/100</f>
        <v>-0.0360386504403561</v>
      </c>
      <c r="C21" s="22" t="n">
        <f aca="false">[15]output_table!G16/100</f>
        <v>0.0469963427020947</v>
      </c>
      <c r="D21" s="23" t="n">
        <f aca="false">[15]output_table!H16/100</f>
        <v>-0.0830349931424506</v>
      </c>
      <c r="E21" s="21" t="n">
        <f aca="false">[16]output_table!F16/100</f>
        <v>-0.0529492963578905</v>
      </c>
      <c r="F21" s="22" t="n">
        <f aca="false">[16]output_table!G16/100</f>
        <v>0.0117891457658208</v>
      </c>
      <c r="G21" s="23" t="n">
        <f aca="false">[16]output_table!H16/100</f>
        <v>-0.0647384421237113</v>
      </c>
    </row>
    <row r="22" customFormat="false" ht="15.75" hidden="false" customHeight="true" outlineLevel="0" collapsed="false">
      <c r="A22" s="20" t="s">
        <v>106</v>
      </c>
      <c r="B22" s="21" t="n">
        <f aca="false">[15]output_table!F17/100</f>
        <v>-0.690387027150459</v>
      </c>
      <c r="C22" s="22" t="n">
        <f aca="false">[15]output_table!G17/100</f>
        <v>-0.293274092603577</v>
      </c>
      <c r="D22" s="23" t="n">
        <f aca="false">[15]output_table!H17/100</f>
        <v>-0.397112934546882</v>
      </c>
      <c r="E22" s="21" t="n">
        <f aca="false">[16]output_table!F17/100</f>
        <v>-0.444873338410454</v>
      </c>
      <c r="F22" s="22" t="n">
        <f aca="false">[16]output_table!G17/100</f>
        <v>-0.466262482586029</v>
      </c>
      <c r="G22" s="23" t="n">
        <f aca="false">[16]output_table!H17/100</f>
        <v>0.0213891441755751</v>
      </c>
    </row>
    <row r="23" customFormat="false" ht="15.75" hidden="false" customHeight="true" outlineLevel="0" collapsed="false">
      <c r="A23" s="20" t="s">
        <v>107</v>
      </c>
      <c r="B23" s="21" t="n">
        <f aca="false">[15]output_table!F18/100</f>
        <v>-0.742295154959689</v>
      </c>
      <c r="C23" s="22" t="n">
        <f aca="false">[15]output_table!G18/100</f>
        <v>-0.474839954214155</v>
      </c>
      <c r="D23" s="23" t="n">
        <f aca="false">[15]output_table!H18/100</f>
        <v>-0.267455200745534</v>
      </c>
      <c r="E23" s="21" t="n">
        <f aca="false">[16]output_table!F18/100</f>
        <v>-0.721798332348372</v>
      </c>
      <c r="F23" s="22" t="n">
        <f aca="false">[16]output_table!G18/100</f>
        <v>-0.936491755004949</v>
      </c>
      <c r="G23" s="23" t="n">
        <f aca="false">[16]output_table!H18/100</f>
        <v>0.214693422656577</v>
      </c>
    </row>
    <row r="24" customFormat="false" ht="15.75" hidden="false" customHeight="true" outlineLevel="0" collapsed="false">
      <c r="A24" s="20" t="s">
        <v>108</v>
      </c>
      <c r="B24" s="21" t="n">
        <f aca="false">[15]output_table!F19/100</f>
        <v>-0.304808561362157</v>
      </c>
      <c r="C24" s="22" t="n">
        <f aca="false">[15]output_table!G19/100</f>
        <v>-0.652388925426207</v>
      </c>
      <c r="D24" s="23" t="n">
        <f aca="false">[15]output_table!H19/100</f>
        <v>0.34758036406405</v>
      </c>
      <c r="E24" s="21" t="n">
        <f aca="false">[16]output_table!F19/100</f>
        <v>-0.401973497577248</v>
      </c>
      <c r="F24" s="22" t="n">
        <f aca="false">[16]output_table!G19/100</f>
        <v>-0.582398549258541</v>
      </c>
      <c r="G24" s="23" t="n">
        <f aca="false">[16]output_table!H19/100</f>
        <v>0.180425051681294</v>
      </c>
    </row>
    <row r="25" customFormat="false" ht="15.75" hidden="false" customHeight="true" outlineLevel="0" collapsed="false">
      <c r="A25" s="20" t="s">
        <v>109</v>
      </c>
      <c r="B25" s="21" t="n">
        <f aca="false">[15]output_table!F20/100</f>
        <v>-0.141161374258826</v>
      </c>
      <c r="C25" s="22" t="n">
        <f aca="false">[15]output_table!G20/100</f>
        <v>-0.143998539480106</v>
      </c>
      <c r="D25" s="23" t="n">
        <f aca="false">[15]output_table!H20/100</f>
        <v>0.00283716522128082</v>
      </c>
      <c r="E25" s="21" t="n">
        <f aca="false">[16]output_table!F20/100</f>
        <v>0.0127998798918097</v>
      </c>
      <c r="F25" s="22" t="n">
        <f aca="false">[16]output_table!G20/100</f>
        <v>-0.58969312210821</v>
      </c>
      <c r="G25" s="23" t="n">
        <f aca="false">[16]output_table!H20/100</f>
        <v>0.602493002000019</v>
      </c>
    </row>
    <row r="26" customFormat="false" ht="15.75" hidden="false" customHeight="true" outlineLevel="0" collapsed="false">
      <c r="A26" s="20" t="s">
        <v>110</v>
      </c>
      <c r="B26" s="21" t="n">
        <f aca="false">[15]output_table!F21/100</f>
        <v>0.03489981441953</v>
      </c>
      <c r="C26" s="22" t="n">
        <f aca="false">[15]output_table!G21/100</f>
        <v>-0.076898003621075</v>
      </c>
      <c r="D26" s="23" t="n">
        <f aca="false">[15]output_table!H21/100</f>
        <v>0.111797818040605</v>
      </c>
      <c r="E26" s="21" t="n">
        <f aca="false">[16]output_table!F21/100</f>
        <v>-0.0116864157459739</v>
      </c>
      <c r="F26" s="22" t="n">
        <f aca="false">[16]output_table!G21/100</f>
        <v>-0.0218118993205592</v>
      </c>
      <c r="G26" s="23" t="n">
        <f aca="false">[16]output_table!H21/100</f>
        <v>0.0101254835745855</v>
      </c>
    </row>
    <row r="27" customFormat="false" ht="15.75" hidden="false" customHeight="true" outlineLevel="0" collapsed="false">
      <c r="A27" s="20" t="s">
        <v>111</v>
      </c>
      <c r="B27" s="21" t="n">
        <f aca="false">[15]output_table!F22/100</f>
        <v>0.0312192397724355</v>
      </c>
      <c r="C27" s="22" t="n">
        <f aca="false">[15]output_table!G22/100</f>
        <v>-0.250600070513189</v>
      </c>
      <c r="D27" s="23" t="n">
        <f aca="false">[15]output_table!H22/100</f>
        <v>0.281819310285625</v>
      </c>
      <c r="E27" s="21" t="n">
        <f aca="false">[16]output_table!F22/100</f>
        <v>0.0044376438251493</v>
      </c>
      <c r="F27" s="22" t="n">
        <f aca="false">[16]output_table!G22/100</f>
        <v>0.0483413357500981</v>
      </c>
      <c r="G27" s="23" t="n">
        <f aca="false">[16]output_table!H22/100</f>
        <v>-0.0439036919249488</v>
      </c>
    </row>
    <row r="28" customFormat="false" ht="15.75" hidden="false" customHeight="true" outlineLevel="0" collapsed="false">
      <c r="A28" s="20" t="s">
        <v>112</v>
      </c>
      <c r="B28" s="21" t="n">
        <f aca="false">[15]output_table!F23/100</f>
        <v>-0.813859372391022</v>
      </c>
      <c r="C28" s="22" t="n">
        <f aca="false">[15]output_table!G23/100</f>
        <v>-0.286303682633693</v>
      </c>
      <c r="D28" s="23" t="n">
        <f aca="false">[15]output_table!H23/100</f>
        <v>-0.527555689757329</v>
      </c>
      <c r="E28" s="21" t="n">
        <f aca="false">[16]output_table!F23/100</f>
        <v>-0.771033603695931</v>
      </c>
      <c r="F28" s="22" t="n">
        <f aca="false">[16]output_table!G23/100</f>
        <v>-0.524719082945895</v>
      </c>
      <c r="G28" s="23" t="n">
        <f aca="false">[16]output_table!H23/100</f>
        <v>-0.246314520750036</v>
      </c>
    </row>
    <row r="29" customFormat="false" ht="15.75" hidden="false" customHeight="true" outlineLevel="0" collapsed="false">
      <c r="A29" s="20" t="s">
        <v>113</v>
      </c>
      <c r="B29" s="21" t="n">
        <f aca="false">[15]output_table!F24/100</f>
        <v>-0.464623838746426</v>
      </c>
      <c r="C29" s="22" t="n">
        <f aca="false">[15]output_table!G24/100</f>
        <v>0.131848326449393</v>
      </c>
      <c r="D29" s="23" t="n">
        <f aca="false">[15]output_table!H24/100</f>
        <v>-0.596472165195818</v>
      </c>
      <c r="E29" s="21" t="n">
        <f aca="false">[16]output_table!F24/100</f>
        <v>-0.326225959701779</v>
      </c>
      <c r="F29" s="22" t="n">
        <f aca="false">[16]output_table!G24/100</f>
        <v>0.0219990903450105</v>
      </c>
      <c r="G29" s="23" t="n">
        <f aca="false">[16]output_table!H24/100</f>
        <v>-0.34822505004679</v>
      </c>
    </row>
    <row r="30" customFormat="false" ht="15.75" hidden="false" customHeight="true" outlineLevel="0" collapsed="false">
      <c r="A30" s="20" t="s">
        <v>114</v>
      </c>
      <c r="B30" s="21" t="n">
        <f aca="false">[15]output_table!F25/100</f>
        <v>-0.5979706852728</v>
      </c>
      <c r="C30" s="22" t="n">
        <f aca="false">[15]output_table!G25/100</f>
        <v>0.0525656223697922</v>
      </c>
      <c r="D30" s="23" t="n">
        <f aca="false">[15]output_table!H25/100</f>
        <v>-0.650536307642592</v>
      </c>
      <c r="E30" s="21" t="n">
        <f aca="false">[16]output_table!F25/100</f>
        <v>-0.600713929491941</v>
      </c>
      <c r="F30" s="22" t="n">
        <f aca="false">[16]output_table!G25/100</f>
        <v>-0.397223530120159</v>
      </c>
      <c r="G30" s="23" t="n">
        <f aca="false">[16]output_table!H25/100</f>
        <v>-0.203490399371782</v>
      </c>
    </row>
    <row r="31" customFormat="false" ht="15.75" hidden="false" customHeight="true" outlineLevel="0" collapsed="false">
      <c r="A31" s="24" t="s">
        <v>115</v>
      </c>
      <c r="B31" s="25" t="n">
        <f aca="false">[15]output_table!F26/100</f>
        <v>0.00117395300848192</v>
      </c>
      <c r="C31" s="26" t="n">
        <f aca="false">[15]output_table!G26/100</f>
        <v>0.0753718047506602</v>
      </c>
      <c r="D31" s="27" t="n">
        <f aca="false">[15]output_table!H26/100</f>
        <v>-0.0741978517421784</v>
      </c>
      <c r="E31" s="25" t="n">
        <f aca="false">[16]output_table!F26/100</f>
        <v>-0.00575060343014248</v>
      </c>
      <c r="F31" s="26" t="n">
        <f aca="false">[16]output_table!G26/100</f>
        <v>0.0109074064910073</v>
      </c>
      <c r="G31" s="27" t="n">
        <f aca="false">[16]output_table!H26/100</f>
        <v>-0.0166580099211498</v>
      </c>
    </row>
    <row r="32" customFormat="false" ht="12.8" hidden="false" customHeight="false" outlineLevel="0" collapsed="false">
      <c r="A32" s="10" t="s">
        <v>116</v>
      </c>
      <c r="B32" s="28" t="n">
        <f aca="false">AVERAGE(B7:B31)</f>
        <v>-0.376743167130071</v>
      </c>
      <c r="C32" s="28" t="n">
        <f aca="false">AVERAGE(C7:C31)</f>
        <v>-0.194444727871261</v>
      </c>
      <c r="D32" s="28" t="n">
        <f aca="false">AVERAGE(D7:D31)</f>
        <v>-0.18229843925881</v>
      </c>
      <c r="E32" s="28" t="n">
        <f aca="false">AVERAGE(E7:E31)</f>
        <v>-0.336340289383509</v>
      </c>
      <c r="F32" s="28" t="n">
        <f aca="false">AVERAGE(F7:F31)</f>
        <v>-0.31707126267445</v>
      </c>
      <c r="G32" s="28" t="n">
        <f aca="false">AVERAGE(G7:G31)</f>
        <v>-0.019269026709059</v>
      </c>
    </row>
    <row r="33" customFormat="false" ht="12.8" hidden="false" customHeight="false" outlineLevel="0" collapsed="false"/>
    <row r="34" customFormat="false" ht="25.1" hidden="false" customHeight="true" outlineLevel="0" collapsed="false">
      <c r="A34" s="29" t="s">
        <v>117</v>
      </c>
      <c r="B34" s="29"/>
      <c r="C34" s="29"/>
      <c r="D34" s="29"/>
      <c r="E34" s="29"/>
      <c r="F34" s="29"/>
      <c r="G34" s="29"/>
    </row>
  </sheetData>
  <mergeCells count="3">
    <mergeCell ref="B5:D5"/>
    <mergeCell ref="E5:G5"/>
    <mergeCell ref="A34:G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92D050"/>
    <pageSetUpPr fitToPage="fals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75" zeroHeight="false" outlineLevelRow="0" outlineLevelCol="0"/>
  <cols>
    <col collapsed="false" customWidth="true" hidden="false" outlineLevel="0" max="1" min="1" style="10" width="22.86"/>
    <col collapsed="false" customWidth="true" hidden="false" outlineLevel="0" max="5" min="2" style="10" width="20.71"/>
    <col collapsed="false" customWidth="true" hidden="false" outlineLevel="0" max="1025" min="6" style="10" width="14.43"/>
  </cols>
  <sheetData>
    <row r="1" customFormat="false" ht="15.75" hidden="false" customHeight="true" outlineLevel="0" collapsed="false">
      <c r="A1" s="10" t="s">
        <v>76</v>
      </c>
    </row>
    <row r="3" customFormat="false" ht="15.75" hidden="false" customHeight="true" outlineLevel="0" collapsed="false">
      <c r="A3" s="10" t="str">
        <f aca="false">CONCATENATE("Title: Model-generated volatility (measured as variance), baseline calibration (",_xlfn.UNICHAR(952), " = 4)")</f>
        <v>Title: Model-generated volatility (measured as variance), baseline calibration (θ = 4)</v>
      </c>
    </row>
    <row r="5" customFormat="false" ht="51" hidden="false" customHeight="false" outlineLevel="0" collapsed="false">
      <c r="B5" s="13" t="s">
        <v>124</v>
      </c>
      <c r="C5" s="14" t="s">
        <v>125</v>
      </c>
      <c r="D5" s="14" t="s">
        <v>126</v>
      </c>
      <c r="E5" s="15" t="s">
        <v>127</v>
      </c>
    </row>
    <row r="6" customFormat="false" ht="15.75" hidden="false" customHeight="true" outlineLevel="0" collapsed="false">
      <c r="A6" s="16" t="s">
        <v>91</v>
      </c>
      <c r="B6" s="36" t="n">
        <f aca="false">[16]output_table!b2</f>
        <v>0.000901942775695546</v>
      </c>
      <c r="C6" s="37" t="n">
        <f aca="false">[16]output_table!d2</f>
        <v>0.00104803084019014</v>
      </c>
      <c r="D6" s="37" t="n">
        <f aca="false">[16]output_table!c2</f>
        <v>0.000922506144755621</v>
      </c>
      <c r="E6" s="38" t="n">
        <f aca="false">[16]output_table!e2</f>
        <v>0.00105358784800313</v>
      </c>
    </row>
    <row r="7" customFormat="false" ht="15.75" hidden="false" customHeight="true" outlineLevel="0" collapsed="false">
      <c r="A7" s="20" t="s">
        <v>92</v>
      </c>
      <c r="B7" s="39" t="n">
        <f aca="false">[16]output_table!b3</f>
        <v>0.000537635959176888</v>
      </c>
      <c r="C7" s="40" t="n">
        <f aca="false">[16]output_table!d3</f>
        <v>0.000694403791409934</v>
      </c>
      <c r="D7" s="40" t="n">
        <f aca="false">[16]output_table!c3</f>
        <v>0.000948228793949682</v>
      </c>
      <c r="E7" s="41" t="n">
        <f aca="false">[16]output_table!e3</f>
        <v>0.00180966529099243</v>
      </c>
    </row>
    <row r="8" customFormat="false" ht="15.75" hidden="false" customHeight="true" outlineLevel="0" collapsed="false">
      <c r="A8" s="20" t="s">
        <v>93</v>
      </c>
      <c r="B8" s="39" t="n">
        <f aca="false">[16]output_table!b4</f>
        <v>0.00102264424093961</v>
      </c>
      <c r="C8" s="40" t="n">
        <f aca="false">[16]output_table!d4</f>
        <v>0.00112084730177949</v>
      </c>
      <c r="D8" s="40" t="n">
        <f aca="false">[16]output_table!c4</f>
        <v>0.00301413374727766</v>
      </c>
      <c r="E8" s="41" t="n">
        <f aca="false">[16]output_table!e4</f>
        <v>0.00433593636254305</v>
      </c>
    </row>
    <row r="9" customFormat="false" ht="15.75" hidden="false" customHeight="true" outlineLevel="0" collapsed="false">
      <c r="A9" s="20" t="s">
        <v>94</v>
      </c>
      <c r="B9" s="39" t="n">
        <f aca="false">[16]output_table!b5</f>
        <v>0.000593783644813335</v>
      </c>
      <c r="C9" s="40" t="n">
        <f aca="false">[16]output_table!d5</f>
        <v>0.00107087725823956</v>
      </c>
      <c r="D9" s="40" t="n">
        <f aca="false">[16]output_table!c5</f>
        <v>0.00219282480405942</v>
      </c>
      <c r="E9" s="41" t="n">
        <f aca="false">[16]output_table!e5</f>
        <v>0.00326982617874154</v>
      </c>
    </row>
    <row r="10" customFormat="false" ht="15.75" hidden="false" customHeight="true" outlineLevel="0" collapsed="false">
      <c r="A10" s="20" t="s">
        <v>95</v>
      </c>
      <c r="B10" s="39" t="n">
        <f aca="false">[16]output_table!b6</f>
        <v>0.00623977431719456</v>
      </c>
      <c r="C10" s="40" t="n">
        <f aca="false">[16]output_table!d6</f>
        <v>0.00701022172255124</v>
      </c>
      <c r="D10" s="40" t="n">
        <f aca="false">[16]output_table!c6</f>
        <v>0.00615514241315341</v>
      </c>
      <c r="E10" s="41" t="n">
        <f aca="false">[16]output_table!e6</f>
        <v>0.00698166687946612</v>
      </c>
    </row>
    <row r="11" customFormat="false" ht="15.75" hidden="false" customHeight="true" outlineLevel="0" collapsed="false">
      <c r="A11" s="20" t="s">
        <v>96</v>
      </c>
      <c r="B11" s="39" t="n">
        <f aca="false">[16]output_table!b7</f>
        <v>0.00110105936710417</v>
      </c>
      <c r="C11" s="40" t="n">
        <f aca="false">[16]output_table!d7</f>
        <v>0.00250644708363799</v>
      </c>
      <c r="D11" s="40" t="n">
        <f aca="false">[16]output_table!c7</f>
        <v>0.00195403047719594</v>
      </c>
      <c r="E11" s="41" t="n">
        <f aca="false">[16]output_table!e7</f>
        <v>0.00377858488193049</v>
      </c>
    </row>
    <row r="12" customFormat="false" ht="15.75" hidden="false" customHeight="true" outlineLevel="0" collapsed="false">
      <c r="A12" s="20" t="s">
        <v>97</v>
      </c>
      <c r="B12" s="39" t="n">
        <f aca="false">[16]output_table!b8</f>
        <v>0.000442946465664111</v>
      </c>
      <c r="C12" s="40" t="n">
        <f aca="false">[16]output_table!d8</f>
        <v>0.000480901143154098</v>
      </c>
      <c r="D12" s="40" t="n">
        <f aca="false">[16]output_table!c8</f>
        <v>0.00200924841398352</v>
      </c>
      <c r="E12" s="41" t="n">
        <f aca="false">[16]output_table!e8</f>
        <v>0.00128740367639692</v>
      </c>
    </row>
    <row r="13" customFormat="false" ht="15.75" hidden="false" customHeight="true" outlineLevel="0" collapsed="false">
      <c r="A13" s="20" t="s">
        <v>98</v>
      </c>
      <c r="B13" s="39" t="n">
        <f aca="false">[16]output_table!b9</f>
        <v>0.000618587046923147</v>
      </c>
      <c r="C13" s="40" t="n">
        <f aca="false">[16]output_table!d9</f>
        <v>0.00100047597325986</v>
      </c>
      <c r="D13" s="40" t="n">
        <f aca="false">[16]output_table!c9</f>
        <v>0.000996266875388787</v>
      </c>
      <c r="E13" s="41" t="n">
        <f aca="false">[16]output_table!e9</f>
        <v>0.00166390061257777</v>
      </c>
    </row>
    <row r="14" customFormat="false" ht="15.75" hidden="false" customHeight="true" outlineLevel="0" collapsed="false">
      <c r="A14" s="20" t="s">
        <v>99</v>
      </c>
      <c r="B14" s="39" t="n">
        <f aca="false">[16]output_table!b10</f>
        <v>0.000195809453720154</v>
      </c>
      <c r="C14" s="40" t="n">
        <f aca="false">[16]output_table!d10</f>
        <v>0.000259324378636601</v>
      </c>
      <c r="D14" s="40" t="n">
        <f aca="false">[16]output_table!c10</f>
        <v>0.000262782583830665</v>
      </c>
      <c r="E14" s="41" t="n">
        <f aca="false">[16]output_table!e10</f>
        <v>0.000189734643258949</v>
      </c>
    </row>
    <row r="15" customFormat="false" ht="15.75" hidden="false" customHeight="true" outlineLevel="0" collapsed="false">
      <c r="A15" s="20" t="s">
        <v>100</v>
      </c>
      <c r="B15" s="39" t="n">
        <f aca="false">[16]output_table!b11</f>
        <v>0.000243145442619801</v>
      </c>
      <c r="C15" s="40" t="n">
        <f aca="false">[16]output_table!d11</f>
        <v>0.000430856830695775</v>
      </c>
      <c r="D15" s="40" t="n">
        <f aca="false">[16]output_table!c11</f>
        <v>0.000521167976960093</v>
      </c>
      <c r="E15" s="41" t="n">
        <f aca="false">[16]output_table!e11</f>
        <v>0.000686005587733103</v>
      </c>
    </row>
    <row r="16" customFormat="false" ht="15.75" hidden="false" customHeight="true" outlineLevel="0" collapsed="false">
      <c r="A16" s="20" t="s">
        <v>101</v>
      </c>
      <c r="B16" s="39" t="n">
        <f aca="false">[16]output_table!b12</f>
        <v>0.000299020437897784</v>
      </c>
      <c r="C16" s="40" t="n">
        <f aca="false">[16]output_table!d12</f>
        <v>0.000441925663269252</v>
      </c>
      <c r="D16" s="40" t="n">
        <f aca="false">[16]output_table!c12</f>
        <v>0.000382989029136599</v>
      </c>
      <c r="E16" s="41" t="n">
        <f aca="false">[16]output_table!e12</f>
        <v>0.00040788574488398</v>
      </c>
    </row>
    <row r="17" customFormat="false" ht="15.75" hidden="false" customHeight="true" outlineLevel="0" collapsed="false">
      <c r="A17" s="20" t="s">
        <v>102</v>
      </c>
      <c r="B17" s="39" t="n">
        <f aca="false">[16]output_table!b13</f>
        <v>0.00102000855880939</v>
      </c>
      <c r="C17" s="40" t="n">
        <f aca="false">[16]output_table!d13</f>
        <v>0.000864048013051492</v>
      </c>
      <c r="D17" s="40" t="n">
        <f aca="false">[16]output_table!c13</f>
        <v>0.00121711157711116</v>
      </c>
      <c r="E17" s="41" t="n">
        <f aca="false">[16]output_table!e13</f>
        <v>0.000938025527106572</v>
      </c>
    </row>
    <row r="18" customFormat="false" ht="15.75" hidden="false" customHeight="true" outlineLevel="0" collapsed="false">
      <c r="A18" s="20" t="s">
        <v>103</v>
      </c>
      <c r="B18" s="39" t="n">
        <f aca="false">[16]output_table!b14</f>
        <v>0.00104757817229763</v>
      </c>
      <c r="C18" s="40" t="n">
        <f aca="false">[16]output_table!d14</f>
        <v>0.00205322121463545</v>
      </c>
      <c r="D18" s="40" t="n">
        <f aca="false">[16]output_table!c14</f>
        <v>0.00255480458806164</v>
      </c>
      <c r="E18" s="41" t="n">
        <f aca="false">[16]output_table!e14</f>
        <v>0.00381700866452876</v>
      </c>
    </row>
    <row r="19" customFormat="false" ht="15.75" hidden="false" customHeight="true" outlineLevel="0" collapsed="false">
      <c r="A19" s="20" t="s">
        <v>104</v>
      </c>
      <c r="B19" s="39" t="n">
        <f aca="false">[16]output_table!b15</f>
        <v>0.000190296896478319</v>
      </c>
      <c r="C19" s="42" t="n">
        <f aca="false">[16]output_table!d15</f>
        <v>0.000184265663612801</v>
      </c>
      <c r="D19" s="40" t="n">
        <f aca="false">[16]output_table!c15</f>
        <v>0.000263198563487931</v>
      </c>
      <c r="E19" s="41" t="n">
        <f aca="false">[16]output_table!e15</f>
        <v>0.000126776988545682</v>
      </c>
    </row>
    <row r="20" customFormat="false" ht="15.75" hidden="false" customHeight="true" outlineLevel="0" collapsed="false">
      <c r="A20" s="20" t="s">
        <v>105</v>
      </c>
      <c r="B20" s="39" t="n">
        <f aca="false">[16]output_table!b16</f>
        <v>0.000295994717054014</v>
      </c>
      <c r="C20" s="40" t="n">
        <f aca="false">[16]output_table!d16</f>
        <v>0.00022318085171573</v>
      </c>
      <c r="D20" s="40" t="n">
        <f aca="false">[16]output_table!c16</f>
        <v>0.000305358821735074</v>
      </c>
      <c r="E20" s="41" t="n">
        <f aca="false">[16]output_table!e16</f>
        <v>0.000198772137678812</v>
      </c>
    </row>
    <row r="21" customFormat="false" ht="15.75" hidden="false" customHeight="true" outlineLevel="0" collapsed="false">
      <c r="A21" s="20" t="s">
        <v>106</v>
      </c>
      <c r="B21" s="39" t="n">
        <f aca="false">[16]output_table!b17</f>
        <v>0.00105024996105716</v>
      </c>
      <c r="C21" s="40" t="n">
        <f aca="false">[16]output_table!d17</f>
        <v>0.00522886810834881</v>
      </c>
      <c r="D21" s="40" t="n">
        <f aca="false">[16]output_table!c17</f>
        <v>0.00242950222807756</v>
      </c>
      <c r="E21" s="41" t="n">
        <f aca="false">[16]output_table!e17</f>
        <v>0.00748512426094133</v>
      </c>
    </row>
    <row r="22" customFormat="false" ht="15.75" hidden="false" customHeight="true" outlineLevel="0" collapsed="false">
      <c r="A22" s="20" t="s">
        <v>107</v>
      </c>
      <c r="B22" s="39" t="n">
        <f aca="false">[16]output_table!b18</f>
        <v>0.000336490537215481</v>
      </c>
      <c r="C22" s="40" t="n">
        <f aca="false">[16]output_table!d18</f>
        <v>0.000661532666295829</v>
      </c>
      <c r="D22" s="40" t="n">
        <f aca="false">[16]output_table!c18</f>
        <v>0.00124148122350794</v>
      </c>
      <c r="E22" s="41" t="n">
        <f aca="false">[16]output_table!e18</f>
        <v>0.00231565286527091</v>
      </c>
    </row>
    <row r="23" customFormat="false" ht="15.75" hidden="false" customHeight="true" outlineLevel="0" collapsed="false">
      <c r="A23" s="20" t="s">
        <v>108</v>
      </c>
      <c r="B23" s="39" t="n">
        <f aca="false">[16]output_table!b19</f>
        <v>0.000840733434692357</v>
      </c>
      <c r="C23" s="40" t="n">
        <f aca="false">[16]output_table!d19</f>
        <v>0.00209522122214339</v>
      </c>
      <c r="D23" s="40" t="n">
        <f aca="false">[16]output_table!c19</f>
        <v>0.00125639364575451</v>
      </c>
      <c r="E23" s="41" t="n">
        <f aca="false">[16]output_table!e19</f>
        <v>0.0032261621534937</v>
      </c>
    </row>
    <row r="24" customFormat="false" ht="15.75" hidden="false" customHeight="true" outlineLevel="0" collapsed="false">
      <c r="A24" s="20" t="s">
        <v>109</v>
      </c>
      <c r="B24" s="39" t="n">
        <f aca="false">[16]output_table!b20</f>
        <v>0.00156170817402549</v>
      </c>
      <c r="C24" s="40" t="n">
        <f aca="false">[16]output_table!d20</f>
        <v>0.00171545146226222</v>
      </c>
      <c r="D24" s="40" t="n">
        <f aca="false">[16]output_table!c20</f>
        <v>0.00166449920464206</v>
      </c>
      <c r="E24" s="41" t="n">
        <f aca="false">[16]output_table!e20</f>
        <v>0.00271974547359438</v>
      </c>
    </row>
    <row r="25" customFormat="false" ht="15.75" hidden="false" customHeight="true" outlineLevel="0" collapsed="false">
      <c r="A25" s="20" t="s">
        <v>110</v>
      </c>
      <c r="B25" s="39" t="n">
        <f aca="false">[16]output_table!b21</f>
        <v>0.00164980704562269</v>
      </c>
      <c r="C25" s="40" t="n">
        <f aca="false">[16]output_table!d21</f>
        <v>0.00238995755382042</v>
      </c>
      <c r="D25" s="40" t="n">
        <f aca="false">[16]output_table!c21</f>
        <v>0.00163132347227275</v>
      </c>
      <c r="E25" s="41" t="n">
        <f aca="false">[16]output_table!e21</f>
        <v>0.00241401590619076</v>
      </c>
    </row>
    <row r="26" customFormat="false" ht="15.75" hidden="false" customHeight="true" outlineLevel="0" collapsed="false">
      <c r="A26" s="20" t="s">
        <v>111</v>
      </c>
      <c r="B26" s="39" t="n">
        <f aca="false">[16]output_table!b22</f>
        <v>0.000852855663416553</v>
      </c>
      <c r="C26" s="40" t="n">
        <f aca="false">[16]output_table!d22</f>
        <v>0.00079289068185225</v>
      </c>
      <c r="D26" s="40" t="n">
        <f aca="false">[16]output_table!c22</f>
        <v>0.000863846876239507</v>
      </c>
      <c r="E26" s="41" t="n">
        <f aca="false">[16]output_table!e22</f>
        <v>0.000877294318541606</v>
      </c>
    </row>
    <row r="27" customFormat="false" ht="15.75" hidden="false" customHeight="true" outlineLevel="0" collapsed="false">
      <c r="A27" s="20" t="s">
        <v>112</v>
      </c>
      <c r="B27" s="39" t="n">
        <f aca="false">[16]output_table!b23</f>
        <v>0.000241604222761696</v>
      </c>
      <c r="C27" s="40" t="n">
        <f aca="false">[16]output_table!d23</f>
        <v>0.000253294586925759</v>
      </c>
      <c r="D27" s="40" t="n">
        <f aca="false">[16]output_table!c23</f>
        <v>0.00123753971899635</v>
      </c>
      <c r="E27" s="41" t="n">
        <f aca="false">[16]output_table!e23</f>
        <v>0.000795073121127181</v>
      </c>
    </row>
    <row r="28" customFormat="false" ht="15.75" hidden="false" customHeight="true" outlineLevel="0" collapsed="false">
      <c r="A28" s="20" t="s">
        <v>113</v>
      </c>
      <c r="B28" s="39" t="n">
        <f aca="false">[16]output_table!b24</f>
        <v>0.000346159380999865</v>
      </c>
      <c r="C28" s="40" t="n">
        <f aca="false">[16]output_table!d24</f>
        <v>0.000530996037514885</v>
      </c>
      <c r="D28" s="40" t="n">
        <f aca="false">[16]output_table!c24</f>
        <v>0.000592327952993193</v>
      </c>
      <c r="E28" s="41" t="n">
        <f aca="false">[16]output_table!e24</f>
        <v>0.000691129586373074</v>
      </c>
    </row>
    <row r="29" customFormat="false" ht="15.75" hidden="false" customHeight="true" outlineLevel="0" collapsed="false">
      <c r="A29" s="20" t="s">
        <v>114</v>
      </c>
      <c r="B29" s="39" t="n">
        <f aca="false">[16]output_table!b25</f>
        <v>0.000236407675673844</v>
      </c>
      <c r="C29" s="40" t="n">
        <f aca="false">[16]output_table!d25</f>
        <v>0.000183170833736748</v>
      </c>
      <c r="D29" s="40" t="n">
        <f aca="false">[16]output_table!c25</f>
        <v>0.000600182168414035</v>
      </c>
      <c r="E29" s="41" t="n">
        <f aca="false">[16]output_table!e25</f>
        <v>0.00036093134978895</v>
      </c>
    </row>
    <row r="30" customFormat="false" ht="15.75" hidden="false" customHeight="true" outlineLevel="0" collapsed="false">
      <c r="A30" s="24" t="s">
        <v>115</v>
      </c>
      <c r="B30" s="43" t="n">
        <f aca="false">[16]output_table!b26</f>
        <v>0.000261762573356451</v>
      </c>
      <c r="C30" s="44" t="n">
        <f aca="false">[16]output_table!d26</f>
        <v>0.000359518686927971</v>
      </c>
      <c r="D30" s="44" t="n">
        <f aca="false">[16]output_table!c26</f>
        <v>0.000266192095183177</v>
      </c>
      <c r="E30" s="45" t="n">
        <f aca="false">[16]output_table!e26</f>
        <v>0.000337773188841264</v>
      </c>
    </row>
    <row r="32" customFormat="false" ht="36.8" hidden="false" customHeight="true" outlineLevel="0" collapsed="false">
      <c r="A32" s="29" t="s">
        <v>128</v>
      </c>
      <c r="B32" s="29"/>
      <c r="C32" s="29"/>
      <c r="D32" s="29"/>
      <c r="E32" s="29"/>
    </row>
  </sheetData>
  <mergeCells count="1">
    <mergeCell ref="A32:E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K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8.29"/>
    <col collapsed="false" customWidth="true" hidden="false" outlineLevel="0" max="1025" min="2" style="0" width="8.76"/>
  </cols>
  <sheetData>
    <row r="1" customFormat="false" ht="12.75" hidden="false" customHeight="false" outlineLevel="0" collapsed="false">
      <c r="K1" s="0" t="s">
        <v>129</v>
      </c>
    </row>
    <row r="2" customFormat="false" ht="12.75" hidden="false" customHeight="false" outlineLevel="0" collapsed="false">
      <c r="B2" s="0" t="s">
        <v>130</v>
      </c>
      <c r="C2" s="0" t="s">
        <v>131</v>
      </c>
      <c r="D2" s="46" t="s">
        <v>132</v>
      </c>
      <c r="K2" s="0" t="s">
        <v>133</v>
      </c>
    </row>
    <row r="3" customFormat="false" ht="12.75" hidden="false" customHeight="false" outlineLevel="0" collapsed="false">
      <c r="A3" s="0" t="s">
        <v>134</v>
      </c>
      <c r="B3" s="0" t="n">
        <v>0.0451017</v>
      </c>
      <c r="C3" s="0" t="n">
        <v>0.0857608</v>
      </c>
      <c r="D3" s="0" t="n">
        <v>0.53</v>
      </c>
      <c r="K3" s="0" t="s">
        <v>135</v>
      </c>
    </row>
    <row r="4" customFormat="false" ht="12.75" hidden="false" customHeight="false" outlineLevel="0" collapsed="false">
      <c r="A4" s="0" t="s">
        <v>136</v>
      </c>
      <c r="B4" s="0" t="n">
        <v>0.0675627</v>
      </c>
      <c r="C4" s="0" t="n">
        <v>0.0158404</v>
      </c>
      <c r="D4" s="0" t="n">
        <v>4.27</v>
      </c>
      <c r="K4" s="0" t="s">
        <v>137</v>
      </c>
    </row>
    <row r="5" customFormat="false" ht="12.75" hidden="false" customHeight="false" outlineLevel="0" collapsed="false">
      <c r="A5" s="0" t="s">
        <v>138</v>
      </c>
      <c r="B5" s="0" t="n">
        <v>0.1177053</v>
      </c>
      <c r="C5" s="0" t="n">
        <v>0.0255549</v>
      </c>
      <c r="D5" s="0" t="n">
        <v>4.61</v>
      </c>
      <c r="K5" s="0" t="s">
        <v>139</v>
      </c>
    </row>
    <row r="6" customFormat="false" ht="12.75" hidden="false" customHeight="false" outlineLevel="0" collapsed="false">
      <c r="A6" s="0" t="s">
        <v>140</v>
      </c>
      <c r="B6" s="0" t="n">
        <v>0.0096435</v>
      </c>
      <c r="C6" s="0" t="n">
        <v>0.0221361</v>
      </c>
      <c r="D6" s="0" t="n">
        <v>0.44</v>
      </c>
    </row>
    <row r="7" customFormat="false" ht="12.75" hidden="false" customHeight="false" outlineLevel="0" collapsed="false">
      <c r="K7" s="0" t="s">
        <v>141</v>
      </c>
    </row>
    <row r="9" customFormat="false" ht="12.75" hidden="false" customHeight="false" outlineLevel="0" collapsed="false">
      <c r="B9" s="46"/>
      <c r="K9" s="0" t="s">
        <v>142</v>
      </c>
    </row>
    <row r="10" customFormat="false" ht="12.75" hidden="false" customHeight="false" outlineLevel="0" collapsed="false">
      <c r="B10" s="46"/>
      <c r="K10" s="0" t="s">
        <v>143</v>
      </c>
    </row>
    <row r="11" customFormat="false" ht="12.75" hidden="false" customHeight="false" outlineLevel="0" collapsed="false">
      <c r="B11" s="46"/>
    </row>
    <row r="12" customFormat="false" ht="12.75" hidden="false" customHeight="false" outlineLevel="0" collapsed="false">
      <c r="B12" s="46"/>
      <c r="K12" s="0" t="s">
        <v>144</v>
      </c>
    </row>
    <row r="13" customFormat="false" ht="12.75" hidden="false" customHeight="false" outlineLevel="0" collapsed="false">
      <c r="K13" s="0" t="s">
        <v>145</v>
      </c>
    </row>
    <row r="14" customFormat="false" ht="12.75" hidden="false" customHeight="false" outlineLevel="0" collapsed="false">
      <c r="K14" s="0" t="s">
        <v>146</v>
      </c>
    </row>
    <row r="15" customFormat="false" ht="12.75" hidden="false" customHeight="false" outlineLevel="0" collapsed="false">
      <c r="K15" s="0" t="s">
        <v>147</v>
      </c>
    </row>
    <row r="17" customFormat="false" ht="12.75" hidden="false" customHeight="false" outlineLevel="0" collapsed="false">
      <c r="K17" s="0" t="s">
        <v>148</v>
      </c>
    </row>
    <row r="19" customFormat="false" ht="12.75" hidden="false" customHeight="false" outlineLevel="0" collapsed="false">
      <c r="K19" s="0" t="s">
        <v>149</v>
      </c>
    </row>
    <row r="20" customFormat="false" ht="12.75" hidden="false" customHeight="false" outlineLevel="0" collapsed="false">
      <c r="K20" s="0" t="s">
        <v>150</v>
      </c>
    </row>
    <row r="22" customFormat="false" ht="12.75" hidden="false" customHeight="false" outlineLevel="0" collapsed="false">
      <c r="K22" s="0" t="s">
        <v>151</v>
      </c>
    </row>
    <row r="23" customFormat="false" ht="12.75" hidden="false" customHeight="false" outlineLevel="0" collapsed="false">
      <c r="K23" s="0" t="s">
        <v>152</v>
      </c>
    </row>
    <row r="24" customFormat="false" ht="12.75" hidden="false" customHeight="false" outlineLevel="0" collapsed="false">
      <c r="K24" s="0" t="s">
        <v>153</v>
      </c>
    </row>
    <row r="25" customFormat="false" ht="12.75" hidden="false" customHeight="false" outlineLevel="0" collapsed="false">
      <c r="K25" s="0" t="s">
        <v>154</v>
      </c>
    </row>
    <row r="27" customFormat="false" ht="12.75" hidden="false" customHeight="false" outlineLevel="0" collapsed="false">
      <c r="K27" s="0" t="s">
        <v>155</v>
      </c>
    </row>
    <row r="28" customFormat="false" ht="12.75" hidden="false" customHeight="false" outlineLevel="0" collapsed="false">
      <c r="K28" s="0" t="s">
        <v>156</v>
      </c>
    </row>
    <row r="30" customFormat="false" ht="12.75" hidden="false" customHeight="false" outlineLevel="0" collapsed="false">
      <c r="K30" s="0" t="s">
        <v>157</v>
      </c>
    </row>
    <row r="31" customFormat="false" ht="12.75" hidden="false" customHeight="false" outlineLevel="0" collapsed="false">
      <c r="K31" s="0" t="s">
        <v>158</v>
      </c>
    </row>
    <row r="32" customFormat="false" ht="12.75" hidden="false" customHeight="false" outlineLevel="0" collapsed="false">
      <c r="K32" s="0" t="s">
        <v>159</v>
      </c>
    </row>
    <row r="33" customFormat="false" ht="12.75" hidden="false" customHeight="false" outlineLevel="0" collapsed="false">
      <c r="K33" s="0" t="s">
        <v>160</v>
      </c>
    </row>
    <row r="34" customFormat="false" ht="12.75" hidden="false" customHeight="false" outlineLevel="0" collapsed="false">
      <c r="K34" s="0" t="s">
        <v>161</v>
      </c>
    </row>
    <row r="35" customFormat="false" ht="12.75" hidden="false" customHeight="false" outlineLevel="0" collapsed="false">
      <c r="K35" s="0" t="s">
        <v>157</v>
      </c>
    </row>
    <row r="37" customFormat="false" ht="12.75" hidden="false" customHeight="false" outlineLevel="0" collapsed="false">
      <c r="K37" s="0" t="s">
        <v>162</v>
      </c>
    </row>
    <row r="39" customFormat="false" ht="12.75" hidden="false" customHeight="false" outlineLevel="0" collapsed="false">
      <c r="K39" s="0" t="s">
        <v>163</v>
      </c>
    </row>
    <row r="40" customFormat="false" ht="12.75" hidden="false" customHeight="false" outlineLevel="0" collapsed="false">
      <c r="K40" s="0" t="s">
        <v>150</v>
      </c>
    </row>
    <row r="42" customFormat="false" ht="12.75" hidden="false" customHeight="false" outlineLevel="0" collapsed="false">
      <c r="K42" s="0" t="s">
        <v>151</v>
      </c>
    </row>
    <row r="43" customFormat="false" ht="12.75" hidden="false" customHeight="false" outlineLevel="0" collapsed="false">
      <c r="K43" s="0" t="s">
        <v>152</v>
      </c>
    </row>
    <row r="44" customFormat="false" ht="12.75" hidden="false" customHeight="false" outlineLevel="0" collapsed="false">
      <c r="K44" s="0" t="s">
        <v>153</v>
      </c>
    </row>
    <row r="45" customFormat="false" ht="12.75" hidden="false" customHeight="false" outlineLevel="0" collapsed="false">
      <c r="K45" s="0" t="s">
        <v>154</v>
      </c>
    </row>
    <row r="47" customFormat="false" ht="12.75" hidden="false" customHeight="false" outlineLevel="0" collapsed="false">
      <c r="K47" s="0" t="s">
        <v>164</v>
      </c>
    </row>
    <row r="48" customFormat="false" ht="12.75" hidden="false" customHeight="false" outlineLevel="0" collapsed="false">
      <c r="K48" s="0" t="s">
        <v>165</v>
      </c>
    </row>
    <row r="50" customFormat="false" ht="12.75" hidden="false" customHeight="false" outlineLevel="0" collapsed="false">
      <c r="K50" s="0" t="s">
        <v>157</v>
      </c>
    </row>
    <row r="51" customFormat="false" ht="12.75" hidden="false" customHeight="false" outlineLevel="0" collapsed="false">
      <c r="K51" s="0" t="s">
        <v>158</v>
      </c>
    </row>
    <row r="52" customFormat="false" ht="12.75" hidden="false" customHeight="false" outlineLevel="0" collapsed="false">
      <c r="K52" s="0" t="s">
        <v>159</v>
      </c>
    </row>
    <row r="53" customFormat="false" ht="12.75" hidden="false" customHeight="false" outlineLevel="0" collapsed="false">
      <c r="K53" s="0" t="s">
        <v>166</v>
      </c>
    </row>
    <row r="54" customFormat="false" ht="12.75" hidden="false" customHeight="false" outlineLevel="0" collapsed="false">
      <c r="K54" s="0" t="s">
        <v>167</v>
      </c>
    </row>
    <row r="55" customFormat="false" ht="12.75" hidden="false" customHeight="false" outlineLevel="0" collapsed="false">
      <c r="K55" s="0" t="s">
        <v>159</v>
      </c>
    </row>
    <row r="56" customFormat="false" ht="12.75" hidden="false" customHeight="false" outlineLevel="0" collapsed="false">
      <c r="K56" s="0" t="s">
        <v>168</v>
      </c>
    </row>
    <row r="57" customFormat="false" ht="12.75" hidden="false" customHeight="false" outlineLevel="0" collapsed="false">
      <c r="K57" s="0" t="s">
        <v>169</v>
      </c>
    </row>
    <row r="58" customFormat="false" ht="12.75" hidden="false" customHeight="false" outlineLevel="0" collapsed="false">
      <c r="K58" s="0" t="s">
        <v>170</v>
      </c>
    </row>
    <row r="59" customFormat="false" ht="12.75" hidden="false" customHeight="false" outlineLevel="0" collapsed="false">
      <c r="K59" s="0" t="s">
        <v>157</v>
      </c>
    </row>
    <row r="60" customFormat="false" ht="12.75" hidden="false" customHeight="false" outlineLevel="0" collapsed="false">
      <c r="K60" s="0" t="s">
        <v>171</v>
      </c>
    </row>
    <row r="62" customFormat="false" ht="12.75" hidden="false" customHeight="false" outlineLevel="0" collapsed="false">
      <c r="K62" s="0" t="s">
        <v>172</v>
      </c>
    </row>
    <row r="63" customFormat="false" ht="12.75" hidden="false" customHeight="false" outlineLevel="0" collapsed="false">
      <c r="K63" s="0" t="s">
        <v>173</v>
      </c>
    </row>
    <row r="64" customFormat="false" ht="12.75" hidden="false" customHeight="false" outlineLevel="0" collapsed="false">
      <c r="K64" s="0" t="s">
        <v>174</v>
      </c>
    </row>
    <row r="65" customFormat="false" ht="12.75" hidden="false" customHeight="false" outlineLevel="0" collapsed="false">
      <c r="K65" s="0" t="s">
        <v>147</v>
      </c>
    </row>
    <row r="67" customFormat="false" ht="12.75" hidden="false" customHeight="false" outlineLevel="0" collapsed="false">
      <c r="K67" s="0" t="s">
        <v>148</v>
      </c>
    </row>
    <row r="69" customFormat="false" ht="12.75" hidden="false" customHeight="false" outlineLevel="0" collapsed="false">
      <c r="K69" s="0" t="s">
        <v>149</v>
      </c>
    </row>
    <row r="70" customFormat="false" ht="12.75" hidden="false" customHeight="false" outlineLevel="0" collapsed="false">
      <c r="K70" s="0" t="s">
        <v>175</v>
      </c>
    </row>
    <row r="72" customFormat="false" ht="12.75" hidden="false" customHeight="false" outlineLevel="0" collapsed="false">
      <c r="K72" s="0" t="s">
        <v>151</v>
      </c>
    </row>
    <row r="73" customFormat="false" ht="12.75" hidden="false" customHeight="false" outlineLevel="0" collapsed="false">
      <c r="K73" s="0" t="s">
        <v>176</v>
      </c>
    </row>
    <row r="74" customFormat="false" ht="12.75" hidden="false" customHeight="false" outlineLevel="0" collapsed="false">
      <c r="K74" s="0" t="s">
        <v>177</v>
      </c>
    </row>
    <row r="75" customFormat="false" ht="12.75" hidden="false" customHeight="false" outlineLevel="0" collapsed="false">
      <c r="K75" s="0" t="s">
        <v>178</v>
      </c>
    </row>
    <row r="77" customFormat="false" ht="12.75" hidden="false" customHeight="false" outlineLevel="0" collapsed="false">
      <c r="K77" s="0" t="s">
        <v>179</v>
      </c>
    </row>
    <row r="78" customFormat="false" ht="12.75" hidden="false" customHeight="false" outlineLevel="0" collapsed="false">
      <c r="K78" s="0" t="s">
        <v>180</v>
      </c>
    </row>
    <row r="80" customFormat="false" ht="12.75" hidden="false" customHeight="false" outlineLevel="0" collapsed="false">
      <c r="K80" s="0" t="s">
        <v>157</v>
      </c>
    </row>
    <row r="81" customFormat="false" ht="12.75" hidden="false" customHeight="false" outlineLevel="0" collapsed="false">
      <c r="K81" s="0" t="s">
        <v>158</v>
      </c>
    </row>
    <row r="82" customFormat="false" ht="12.75" hidden="false" customHeight="false" outlineLevel="0" collapsed="false">
      <c r="K82" s="0" t="s">
        <v>159</v>
      </c>
    </row>
    <row r="83" customFormat="false" ht="12.75" hidden="false" customHeight="false" outlineLevel="0" collapsed="false">
      <c r="K83" s="0" t="s">
        <v>181</v>
      </c>
    </row>
    <row r="84" customFormat="false" ht="12.75" hidden="false" customHeight="false" outlineLevel="0" collapsed="false">
      <c r="K84" s="0" t="s">
        <v>182</v>
      </c>
    </row>
    <row r="85" customFormat="false" ht="12.75" hidden="false" customHeight="false" outlineLevel="0" collapsed="false">
      <c r="K85" s="0" t="s">
        <v>157</v>
      </c>
    </row>
    <row r="87" customFormat="false" ht="12.75" hidden="false" customHeight="false" outlineLevel="0" collapsed="false">
      <c r="K87" s="0" t="s">
        <v>162</v>
      </c>
    </row>
    <row r="89" customFormat="false" ht="12.75" hidden="false" customHeight="false" outlineLevel="0" collapsed="false">
      <c r="K89" s="0" t="s">
        <v>163</v>
      </c>
    </row>
    <row r="90" customFormat="false" ht="12.75" hidden="false" customHeight="false" outlineLevel="0" collapsed="false">
      <c r="K90" s="0" t="s">
        <v>175</v>
      </c>
    </row>
    <row r="92" customFormat="false" ht="12.75" hidden="false" customHeight="false" outlineLevel="0" collapsed="false">
      <c r="K92" s="0" t="s">
        <v>151</v>
      </c>
    </row>
    <row r="93" customFormat="false" ht="12.75" hidden="false" customHeight="false" outlineLevel="0" collapsed="false">
      <c r="K93" s="0" t="s">
        <v>176</v>
      </c>
    </row>
    <row r="94" customFormat="false" ht="12.75" hidden="false" customHeight="false" outlineLevel="0" collapsed="false">
      <c r="K94" s="0" t="s">
        <v>177</v>
      </c>
    </row>
    <row r="95" customFormat="false" ht="12.75" hidden="false" customHeight="false" outlineLevel="0" collapsed="false">
      <c r="K95" s="0" t="s">
        <v>178</v>
      </c>
    </row>
    <row r="97" customFormat="false" ht="12.75" hidden="false" customHeight="false" outlineLevel="0" collapsed="false">
      <c r="K97" s="0" t="s">
        <v>183</v>
      </c>
    </row>
    <row r="98" customFormat="false" ht="12.75" hidden="false" customHeight="false" outlineLevel="0" collapsed="false">
      <c r="K98" s="0" t="s">
        <v>184</v>
      </c>
    </row>
    <row r="100" customFormat="false" ht="12.75" hidden="false" customHeight="false" outlineLevel="0" collapsed="false">
      <c r="K100" s="0" t="s">
        <v>157</v>
      </c>
    </row>
    <row r="101" customFormat="false" ht="12.75" hidden="false" customHeight="false" outlineLevel="0" collapsed="false">
      <c r="K101" s="0" t="s">
        <v>158</v>
      </c>
    </row>
    <row r="102" customFormat="false" ht="12.75" hidden="false" customHeight="false" outlineLevel="0" collapsed="false">
      <c r="K102" s="0" t="s">
        <v>159</v>
      </c>
    </row>
    <row r="103" customFormat="false" ht="12.75" hidden="false" customHeight="false" outlineLevel="0" collapsed="false">
      <c r="K103" s="0" t="s">
        <v>185</v>
      </c>
    </row>
    <row r="104" customFormat="false" ht="12.75" hidden="false" customHeight="false" outlineLevel="0" collapsed="false">
      <c r="K104" s="0" t="s">
        <v>186</v>
      </c>
    </row>
    <row r="105" customFormat="false" ht="12.75" hidden="false" customHeight="false" outlineLevel="0" collapsed="false">
      <c r="K105" s="0" t="s">
        <v>159</v>
      </c>
    </row>
    <row r="106" customFormat="false" ht="12.75" hidden="false" customHeight="false" outlineLevel="0" collapsed="false">
      <c r="K106" s="0" t="s">
        <v>187</v>
      </c>
    </row>
    <row r="107" customFormat="false" ht="12.75" hidden="false" customHeight="false" outlineLevel="0" collapsed="false">
      <c r="K107" s="0" t="s">
        <v>188</v>
      </c>
    </row>
    <row r="108" customFormat="false" ht="12.75" hidden="false" customHeight="false" outlineLevel="0" collapsed="false">
      <c r="K108" s="0" t="s">
        <v>189</v>
      </c>
    </row>
    <row r="109" customFormat="false" ht="12.75" hidden="false" customHeight="false" outlineLevel="0" collapsed="false">
      <c r="K109" s="0" t="s">
        <v>157</v>
      </c>
    </row>
    <row r="110" customFormat="false" ht="12.75" hidden="false" customHeight="false" outlineLevel="0" collapsed="false">
      <c r="K110" s="0" t="s">
        <v>190</v>
      </c>
    </row>
    <row r="112" customFormat="false" ht="12.75" hidden="false" customHeight="false" outlineLevel="0" collapsed="false">
      <c r="K112" s="0" t="s">
        <v>191</v>
      </c>
    </row>
    <row r="113" customFormat="false" ht="12.75" hidden="false" customHeight="false" outlineLevel="0" collapsed="false">
      <c r="K113" s="0" t="s">
        <v>133</v>
      </c>
    </row>
    <row r="114" customFormat="false" ht="12.75" hidden="false" customHeight="false" outlineLevel="0" collapsed="false">
      <c r="K114" s="0" t="s">
        <v>135</v>
      </c>
    </row>
    <row r="115" customFormat="false" ht="12.75" hidden="false" customHeight="false" outlineLevel="0" collapsed="false">
      <c r="K115" s="0" t="s">
        <v>137</v>
      </c>
    </row>
    <row r="116" customFormat="false" ht="12.75" hidden="false" customHeight="false" outlineLevel="0" collapsed="false">
      <c r="K116" s="0" t="s">
        <v>192</v>
      </c>
    </row>
    <row r="117" customFormat="false" ht="12.75" hidden="false" customHeight="false" outlineLevel="0" collapsed="false">
      <c r="K117" s="0" t="s">
        <v>129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2D050"/>
    <pageSetUpPr fitToPage="false"/>
  </sheetPr>
  <dimension ref="A1:C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75" zeroHeight="false" outlineLevelRow="0" outlineLevelCol="0"/>
  <cols>
    <col collapsed="false" customWidth="true" hidden="false" outlineLevel="0" max="1" min="1" style="10" width="43"/>
    <col collapsed="false" customWidth="true" hidden="false" outlineLevel="0" max="1025" min="2" style="10" width="14.43"/>
  </cols>
  <sheetData>
    <row r="1" customFormat="false" ht="15.75" hidden="false" customHeight="true" outlineLevel="0" collapsed="false">
      <c r="B1" s="11" t="s">
        <v>84</v>
      </c>
      <c r="C1" s="11" t="s">
        <v>85</v>
      </c>
    </row>
    <row r="2" customFormat="false" ht="15.75" hidden="false" customHeight="true" outlineLevel="0" collapsed="false">
      <c r="A2" s="11" t="s">
        <v>86</v>
      </c>
      <c r="B2" s="10" t="n">
        <v>0.957</v>
      </c>
      <c r="C2" s="10" t="n">
        <v>0.987</v>
      </c>
    </row>
    <row r="3" customFormat="false" ht="15.75" hidden="false" customHeight="true" outlineLevel="0" collapsed="false">
      <c r="A3" s="11" t="s">
        <v>87</v>
      </c>
      <c r="B3" s="11" t="n">
        <v>0.879</v>
      </c>
      <c r="C3" s="10" t="n">
        <v>0.892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25</v>
      </c>
    </row>
    <row r="3" customFormat="false" ht="15.75" hidden="false" customHeight="true" outlineLevel="0" collapsed="false">
      <c r="A3" s="10" t="str">
        <f aca="false">CONCATENATE("Title: Changes in average volatility due to measured changes in trade barriers, baseline calibration (",_xlfn.UNICHAR(952), " = 4)")</f>
        <v>Title: Changes in average volatility due to measured changes in trade barriers, baseline calibration (θ = 4)</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[16]output_table!f2/100</f>
        <v>-0.0222907664918837</v>
      </c>
      <c r="C6" s="18" t="n">
        <f aca="false">[16]output_table!g2/100</f>
        <v>-0.00602381658331743</v>
      </c>
      <c r="D6" s="19" t="n">
        <f aca="false">[16]output_table!h2/100</f>
        <v>-0.0162669499085662</v>
      </c>
    </row>
    <row r="7" customFormat="false" ht="15.75" hidden="false" customHeight="true" outlineLevel="0" collapsed="false">
      <c r="A7" s="20" t="s">
        <v>92</v>
      </c>
      <c r="B7" s="21" t="n">
        <f aca="false">[16]output_table!f3/100</f>
        <v>-0.433010300248889</v>
      </c>
      <c r="C7" s="22" t="n">
        <f aca="false">[16]output_table!g3/100</f>
        <v>-1.17615232388912</v>
      </c>
      <c r="D7" s="23" t="n">
        <f aca="false">[16]output_table!h3/100</f>
        <v>0.743142023640233</v>
      </c>
    </row>
    <row r="8" customFormat="false" ht="15.75" hidden="false" customHeight="true" outlineLevel="0" collapsed="false">
      <c r="A8" s="20" t="s">
        <v>93</v>
      </c>
      <c r="B8" s="21" t="n">
        <f aca="false">[16]output_table!f4/100</f>
        <v>-0.66071703292422</v>
      </c>
      <c r="C8" s="22" t="n">
        <f aca="false">[16]output_table!g4/100</f>
        <v>-1.06667100080326</v>
      </c>
      <c r="D8" s="23" t="n">
        <f aca="false">[16]output_table!h4/100</f>
        <v>0.405953967879044</v>
      </c>
    </row>
    <row r="9" customFormat="false" ht="15.75" hidden="false" customHeight="true" outlineLevel="0" collapsed="false">
      <c r="A9" s="20" t="s">
        <v>94</v>
      </c>
      <c r="B9" s="21" t="n">
        <f aca="false">[16]output_table!f5/100</f>
        <v>-0.729215191421538</v>
      </c>
      <c r="C9" s="22" t="n">
        <f aca="false">[16]output_table!g5/100</f>
        <v>-1.00279279787023</v>
      </c>
      <c r="D9" s="23" t="n">
        <f aca="false">[16]output_table!h5/100</f>
        <v>0.273577606448693</v>
      </c>
    </row>
    <row r="10" customFormat="false" ht="15.75" hidden="false" customHeight="true" outlineLevel="0" collapsed="false">
      <c r="A10" s="20" t="s">
        <v>95</v>
      </c>
      <c r="B10" s="21" t="n">
        <f aca="false">[16]output_table!f6/100</f>
        <v>0.013749788121929</v>
      </c>
      <c r="C10" s="22" t="n">
        <f aca="false">[16]output_table!g6/100</f>
        <v>0.00463918479353159</v>
      </c>
      <c r="D10" s="23" t="n">
        <f aca="false">[16]output_table!h6/100</f>
        <v>0.00911060332839737</v>
      </c>
    </row>
    <row r="11" customFormat="false" ht="15.75" hidden="false" customHeight="true" outlineLevel="0" collapsed="false">
      <c r="A11" s="20" t="s">
        <v>96</v>
      </c>
      <c r="B11" s="21" t="n">
        <f aca="false">[16]output_table!f7/100</f>
        <v>-0.43651883634681</v>
      </c>
      <c r="C11" s="22" t="n">
        <f aca="false">[16]output_table!g7/100</f>
        <v>-0.651032731136325</v>
      </c>
      <c r="D11" s="23" t="n">
        <f aca="false">[16]output_table!h7/100</f>
        <v>0.214513894789516</v>
      </c>
      <c r="G11" s="10" t="n">
        <f aca="false">[18]output_table!j14</f>
        <v>0</v>
      </c>
    </row>
    <row r="12" customFormat="false" ht="15.75" hidden="false" customHeight="true" outlineLevel="0" collapsed="false">
      <c r="A12" s="20" t="s">
        <v>97</v>
      </c>
      <c r="B12" s="21" t="n">
        <f aca="false">[16]output_table!f8/100</f>
        <v>-0.779546191211903</v>
      </c>
      <c r="C12" s="22" t="n">
        <f aca="false">[16]output_table!g8/100</f>
        <v>-0.401395132443505</v>
      </c>
      <c r="D12" s="23" t="n">
        <f aca="false">[16]output_table!h8/100</f>
        <v>-0.378151058768398</v>
      </c>
    </row>
    <row r="13" customFormat="false" ht="15.75" hidden="false" customHeight="true" outlineLevel="0" collapsed="false">
      <c r="A13" s="20" t="s">
        <v>98</v>
      </c>
      <c r="B13" s="21" t="n">
        <f aca="false">[16]output_table!f9/100</f>
        <v>-0.379095037480046</v>
      </c>
      <c r="C13" s="22" t="n">
        <f aca="false">[16]output_table!g9/100</f>
        <v>-0.665910566442366</v>
      </c>
      <c r="D13" s="23" t="n">
        <f aca="false">[16]output_table!h9/100</f>
        <v>0.28681552896232</v>
      </c>
    </row>
    <row r="14" customFormat="false" ht="15.75" hidden="false" customHeight="true" outlineLevel="0" collapsed="false">
      <c r="A14" s="20" t="s">
        <v>99</v>
      </c>
      <c r="B14" s="21" t="n">
        <f aca="false">[16]output_table!f10/100</f>
        <v>-0.254861372980744</v>
      </c>
      <c r="C14" s="22" t="n">
        <f aca="false">[16]output_table!g10/100</f>
        <v>0.264818673913698</v>
      </c>
      <c r="D14" s="23" t="n">
        <f aca="false">[16]output_table!h10/100</f>
        <v>-0.519680046894441</v>
      </c>
    </row>
    <row r="15" customFormat="false" ht="15.75" hidden="false" customHeight="true" outlineLevel="0" collapsed="false">
      <c r="A15" s="20" t="s">
        <v>100</v>
      </c>
      <c r="B15" s="21" t="n">
        <f aca="false">[16]output_table!f11/100</f>
        <v>-0.533460509147093</v>
      </c>
      <c r="C15" s="22" t="n">
        <f aca="false">[16]output_table!g11/100</f>
        <v>-0.489571056390645</v>
      </c>
      <c r="D15" s="23" t="n">
        <f aca="false">[16]output_table!h11/100</f>
        <v>-0.0438894527564481</v>
      </c>
    </row>
    <row r="16" customFormat="false" ht="15.75" hidden="false" customHeight="true" outlineLevel="0" collapsed="false">
      <c r="A16" s="20" t="s">
        <v>101</v>
      </c>
      <c r="B16" s="21" t="n">
        <f aca="false">[16]output_table!f12/100</f>
        <v>-0.21924542180258</v>
      </c>
      <c r="C16" s="22" t="n">
        <f aca="false">[16]output_table!g12/100</f>
        <v>0.0888796174188341</v>
      </c>
      <c r="D16" s="23" t="n">
        <f aca="false">[16]output_table!h12/100</f>
        <v>-0.308125039221414</v>
      </c>
    </row>
    <row r="17" customFormat="false" ht="15.75" hidden="false" customHeight="true" outlineLevel="0" collapsed="false">
      <c r="A17" s="20" t="s">
        <v>102</v>
      </c>
      <c r="B17" s="21" t="n">
        <f aca="false">[16]output_table!f13/100</f>
        <v>-0.161943261413715</v>
      </c>
      <c r="C17" s="22" t="n">
        <f aca="false">[16]output_table!g13/100</f>
        <v>-0.060781209747974</v>
      </c>
      <c r="D17" s="23" t="n">
        <f aca="false">[16]output_table!h13/100</f>
        <v>-0.101162051665741</v>
      </c>
    </row>
    <row r="18" customFormat="false" ht="15.75" hidden="false" customHeight="true" outlineLevel="0" collapsed="false">
      <c r="A18" s="20" t="s">
        <v>103</v>
      </c>
      <c r="B18" s="21" t="n">
        <f aca="false">[16]output_table!f14/100</f>
        <v>-0.589957612729811</v>
      </c>
      <c r="C18" s="22" t="n">
        <f aca="false">[16]output_table!g14/100</f>
        <v>-0.690380570841046</v>
      </c>
      <c r="D18" s="23" t="n">
        <f aca="false">[16]output_table!h14/100</f>
        <v>0.100422958111235</v>
      </c>
    </row>
    <row r="19" customFormat="false" ht="15.75" hidden="false" customHeight="true" outlineLevel="0" collapsed="false">
      <c r="A19" s="20" t="s">
        <v>104</v>
      </c>
      <c r="B19" s="21" t="n">
        <f aca="false">[16]output_table!f15/100</f>
        <v>-0.276983529254539</v>
      </c>
      <c r="C19" s="22" t="n">
        <f aca="false">[16]output_table!g15/100</f>
        <v>0.218423209858268</v>
      </c>
      <c r="D19" s="23" t="n">
        <f aca="false">[16]output_table!h15/100</f>
        <v>-0.495406739112808</v>
      </c>
    </row>
    <row r="20" customFormat="false" ht="15.75" hidden="false" customHeight="true" outlineLevel="0" collapsed="false">
      <c r="A20" s="20" t="s">
        <v>105</v>
      </c>
      <c r="B20" s="21" t="n">
        <f aca="false">[16]output_table!f16/100</f>
        <v>-0.0306659052057271</v>
      </c>
      <c r="C20" s="22" t="n">
        <f aca="false">[16]output_table!g16/100</f>
        <v>0.0799345304590389</v>
      </c>
      <c r="D20" s="23" t="n">
        <f aca="false">[16]output_table!h16/100</f>
        <v>-0.110600435664766</v>
      </c>
    </row>
    <row r="21" customFormat="false" ht="15.75" hidden="false" customHeight="true" outlineLevel="0" collapsed="false">
      <c r="A21" s="20" t="s">
        <v>106</v>
      </c>
      <c r="B21" s="21" t="n">
        <f aca="false">[16]output_table!f17/100</f>
        <v>-0.567709817706892</v>
      </c>
      <c r="C21" s="22" t="n">
        <f aca="false">[16]output_table!g17/100</f>
        <v>-0.92869071142111</v>
      </c>
      <c r="D21" s="23" t="n">
        <f aca="false">[16]output_table!h17/100</f>
        <v>0.360980893714218</v>
      </c>
    </row>
    <row r="22" customFormat="false" ht="15.75" hidden="false" customHeight="true" outlineLevel="0" collapsed="false">
      <c r="A22" s="20" t="s">
        <v>107</v>
      </c>
      <c r="B22" s="21" t="n">
        <f aca="false">[16]output_table!f18/100</f>
        <v>-0.728960429812469</v>
      </c>
      <c r="C22" s="22" t="n">
        <f aca="false">[16]output_table!g18/100</f>
        <v>-1.33237633212139</v>
      </c>
      <c r="D22" s="23" t="n">
        <f aca="false">[16]output_table!h18/100</f>
        <v>0.603415902308917</v>
      </c>
    </row>
    <row r="23" customFormat="false" ht="15.75" hidden="false" customHeight="true" outlineLevel="0" collapsed="false">
      <c r="A23" s="20" t="s">
        <v>108</v>
      </c>
      <c r="B23" s="21" t="n">
        <f aca="false">[16]output_table!f19/100</f>
        <v>-0.330835970451391</v>
      </c>
      <c r="C23" s="22" t="n">
        <f aca="false">[16]output_table!g19/100</f>
        <v>-0.900148560263634</v>
      </c>
      <c r="D23" s="23" t="n">
        <f aca="false">[16]output_table!h19/100</f>
        <v>0.569312589812242</v>
      </c>
    </row>
    <row r="24" customFormat="false" ht="15.75" hidden="false" customHeight="true" outlineLevel="0" collapsed="false">
      <c r="A24" s="20" t="s">
        <v>109</v>
      </c>
      <c r="B24" s="21" t="n">
        <f aca="false">[16]output_table!f20/100</f>
        <v>-0.061754929248328</v>
      </c>
      <c r="C24" s="22" t="n">
        <f aca="false">[16]output_table!g20/100</f>
        <v>-0.603361064115457</v>
      </c>
      <c r="D24" s="23" t="n">
        <f aca="false">[16]output_table!h20/100</f>
        <v>0.541606134867129</v>
      </c>
    </row>
    <row r="25" customFormat="false" ht="15.75" hidden="false" customHeight="true" outlineLevel="0" collapsed="false">
      <c r="A25" s="20" t="s">
        <v>110</v>
      </c>
      <c r="B25" s="21" t="n">
        <f aca="false">[16]output_table!f21/100</f>
        <v>0.0113304158642382</v>
      </c>
      <c r="C25" s="22" t="n">
        <f aca="false">[16]output_table!g21/100</f>
        <v>-0.0147477510004919</v>
      </c>
      <c r="D25" s="23" t="n">
        <f aca="false">[16]output_table!h21/100</f>
        <v>0.0260781668647301</v>
      </c>
    </row>
    <row r="26" customFormat="false" ht="15.75" hidden="false" customHeight="true" outlineLevel="0" collapsed="false">
      <c r="A26" s="20" t="s">
        <v>111</v>
      </c>
      <c r="B26" s="21" t="n">
        <f aca="false">[16]output_table!f22/100</f>
        <v>-0.0127235660917139</v>
      </c>
      <c r="C26" s="22" t="n">
        <f aca="false">[16]output_table!g22/100</f>
        <v>-0.0977067105420136</v>
      </c>
      <c r="D26" s="23" t="n">
        <f aca="false">[16]output_table!h22/100</f>
        <v>0.0849831444502997</v>
      </c>
    </row>
    <row r="27" customFormat="false" ht="15.75" hidden="false" customHeight="true" outlineLevel="0" collapsed="false">
      <c r="A27" s="20" t="s">
        <v>112</v>
      </c>
      <c r="B27" s="21" t="n">
        <f aca="false">[16]output_table!f23/100</f>
        <v>-0.80477053055102</v>
      </c>
      <c r="C27" s="22" t="n">
        <f aca="false">[16]output_table!g23/100</f>
        <v>-0.437786784444225</v>
      </c>
      <c r="D27" s="23" t="n">
        <f aca="false">[16]output_table!h23/100</f>
        <v>-0.366983746106796</v>
      </c>
    </row>
    <row r="28" customFormat="false" ht="15.75" hidden="false" customHeight="true" outlineLevel="0" collapsed="false">
      <c r="A28" s="20" t="s">
        <v>113</v>
      </c>
      <c r="B28" s="21" t="n">
        <f aca="false">[16]output_table!f24/100</f>
        <v>-0.415595061400313</v>
      </c>
      <c r="C28" s="22" t="n">
        <f aca="false">[16]output_table!g24/100</f>
        <v>-0.270346094674396</v>
      </c>
      <c r="D28" s="23" t="n">
        <f aca="false">[16]output_table!h24/100</f>
        <v>-0.145248966725917</v>
      </c>
    </row>
    <row r="29" customFormat="false" ht="15.75" hidden="false" customHeight="true" outlineLevel="0" collapsed="false">
      <c r="A29" s="20" t="s">
        <v>114</v>
      </c>
      <c r="B29" s="21" t="n">
        <f aca="false">[16]output_table!f25/100</f>
        <v>-0.60610679870989</v>
      </c>
      <c r="C29" s="22" t="n">
        <f aca="false">[16]output_table!g25/100</f>
        <v>-0.296177603079961</v>
      </c>
      <c r="D29" s="23" t="n">
        <f aca="false">[16]output_table!h25/100</f>
        <v>-0.309929195629929</v>
      </c>
    </row>
    <row r="30" customFormat="false" ht="15.75" hidden="false" customHeight="true" outlineLevel="0" collapsed="false">
      <c r="A30" s="24" t="s">
        <v>115</v>
      </c>
      <c r="B30" s="25" t="n">
        <f aca="false">[16]output_table!f26/100</f>
        <v>-0.016640320681489</v>
      </c>
      <c r="C30" s="26" t="n">
        <f aca="false">[16]output_table!g26/100</f>
        <v>0.0816909986442043</v>
      </c>
      <c r="D30" s="27" t="n">
        <f aca="false">[16]output_table!h26/100</f>
        <v>-0.0983313193256933</v>
      </c>
    </row>
    <row r="31" customFormat="false" ht="12.8" hidden="false" customHeight="false" outlineLevel="0" collapsed="false">
      <c r="A31" s="10" t="s">
        <v>116</v>
      </c>
      <c r="B31" s="28" t="n">
        <f aca="false">AVERAGE(B6:B30)</f>
        <v>-0.361101127573073</v>
      </c>
      <c r="C31" s="28" t="n">
        <f aca="false">AVERAGE(C6:C30)</f>
        <v>-0.414146664108916</v>
      </c>
      <c r="D31" s="28" t="n">
        <f aca="false">AVERAGE(D6:D30)</f>
        <v>0.0530455365358423</v>
      </c>
    </row>
    <row r="32" customFormat="false" ht="12.8" hidden="false" customHeight="false" outlineLevel="0" collapsed="false"/>
    <row r="33" customFormat="false" ht="36.8" hidden="false" customHeight="true" outlineLevel="0" collapsed="false">
      <c r="A33" s="29" t="s">
        <v>117</v>
      </c>
      <c r="B33" s="29"/>
      <c r="C33" s="29"/>
      <c r="D33" s="29"/>
    </row>
    <row r="34" customFormat="false" ht="12.8" hidden="false" customHeight="false" outlineLevel="0" collapsed="false">
      <c r="A34" s="29"/>
      <c r="B34" s="29"/>
      <c r="C34" s="29"/>
      <c r="D34" s="29"/>
    </row>
  </sheetData>
  <mergeCells count="2">
    <mergeCell ref="A33:D33"/>
    <mergeCell ref="A34:D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2D050"/>
    <pageSetUpPr fitToPage="false"/>
  </sheetPr>
  <dimension ref="A1:D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1" activeCellId="0" sqref="C31"/>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37</v>
      </c>
    </row>
    <row r="3" customFormat="false" ht="15.75" hidden="false" customHeight="true" outlineLevel="0" collapsed="false">
      <c r="A3" s="10" t="str">
        <f aca="false">CONCATENATE("Title: Changes in average volatility due to measured changes in trade barriers, baseline calibration (",_xlfn.UNICHAR(952), " = 4) with trade imbalances")</f>
        <v>Title: Changes in average volatility due to measured changes in trade barriers, baseline calibration (θ = 4) with trade imbalances</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[17]output_table!f2/100</f>
        <v>-0.0368446868671443</v>
      </c>
      <c r="C6" s="18" t="n">
        <f aca="false">[17]output_table!g2/100</f>
        <v>-0.0174656241676815</v>
      </c>
      <c r="D6" s="19" t="n">
        <f aca="false">[17]output_table!h2/100</f>
        <v>-0.0193790626994626</v>
      </c>
    </row>
    <row r="7" customFormat="false" ht="15.75" hidden="false" customHeight="true" outlineLevel="0" collapsed="false">
      <c r="A7" s="20" t="s">
        <v>92</v>
      </c>
      <c r="B7" s="21" t="n">
        <f aca="false">[17]output_table!f3/100</f>
        <v>-0.440031464514686</v>
      </c>
      <c r="C7" s="22" t="n">
        <f aca="false">[17]output_table!g3/100</f>
        <v>-1.19477849437964</v>
      </c>
      <c r="D7" s="23" t="n">
        <f aca="false">[17]output_table!h3/100</f>
        <v>0.754747029864956</v>
      </c>
    </row>
    <row r="8" customFormat="false" ht="15.75" hidden="false" customHeight="true" outlineLevel="0" collapsed="false">
      <c r="A8" s="20" t="s">
        <v>93</v>
      </c>
      <c r="B8" s="21" t="n">
        <f aca="false">[17]output_table!f4/100</f>
        <v>-0.65471850809175</v>
      </c>
      <c r="C8" s="22" t="n">
        <f aca="false">[17]output_table!g4/100</f>
        <v>-1.13144500882172</v>
      </c>
      <c r="D8" s="23" t="n">
        <f aca="false">[17]output_table!h4/100</f>
        <v>0.47672650072997</v>
      </c>
    </row>
    <row r="9" customFormat="false" ht="15.75" hidden="false" customHeight="true" outlineLevel="0" collapsed="false">
      <c r="A9" s="20" t="s">
        <v>94</v>
      </c>
      <c r="B9" s="21" t="n">
        <f aca="false">[17]output_table!f5/100</f>
        <v>-0.740981009189681</v>
      </c>
      <c r="C9" s="22" t="n">
        <f aca="false">[17]output_table!g5/100</f>
        <v>-1.00706297262462</v>
      </c>
      <c r="D9" s="23" t="n">
        <f aca="false">[17]output_table!h5/100</f>
        <v>0.266081963434938</v>
      </c>
    </row>
    <row r="10" customFormat="false" ht="15.75" hidden="false" customHeight="true" outlineLevel="0" collapsed="false">
      <c r="A10" s="20" t="s">
        <v>95</v>
      </c>
      <c r="B10" s="21" t="n">
        <f aca="false">[17]output_table!f6/100</f>
        <v>0.0173478985611457</v>
      </c>
      <c r="C10" s="22" t="n">
        <f aca="false">[17]output_table!g6/100</f>
        <v>0.0159298913880027</v>
      </c>
      <c r="D10" s="23" t="n">
        <f aca="false">[17]output_table!h6/100</f>
        <v>0.00141800717314296</v>
      </c>
    </row>
    <row r="11" customFormat="false" ht="15.75" hidden="false" customHeight="true" outlineLevel="0" collapsed="false">
      <c r="A11" s="20" t="s">
        <v>96</v>
      </c>
      <c r="B11" s="21" t="n">
        <f aca="false">[17]output_table!f7/100</f>
        <v>-0.443985164989434</v>
      </c>
      <c r="C11" s="22" t="n">
        <f aca="false">[17]output_table!g7/100</f>
        <v>-0.668087547496246</v>
      </c>
      <c r="D11" s="23" t="n">
        <f aca="false">[17]output_table!h7/100</f>
        <v>0.224102382506812</v>
      </c>
    </row>
    <row r="12" customFormat="false" ht="15.75" hidden="false" customHeight="true" outlineLevel="0" collapsed="false">
      <c r="A12" s="20" t="s">
        <v>97</v>
      </c>
      <c r="B12" s="21" t="n">
        <f aca="false">[17]output_table!f8/100</f>
        <v>-0.759836987311245</v>
      </c>
      <c r="C12" s="22" t="n">
        <f aca="false">[17]output_table!g8/100</f>
        <v>-0.419258607367088</v>
      </c>
      <c r="D12" s="23" t="n">
        <f aca="false">[17]output_table!h8/100</f>
        <v>-0.340578379944157</v>
      </c>
    </row>
    <row r="13" customFormat="false" ht="15.75" hidden="false" customHeight="true" outlineLevel="0" collapsed="false">
      <c r="A13" s="20" t="s">
        <v>98</v>
      </c>
      <c r="B13" s="21" t="n">
        <f aca="false">[17]output_table!f9/100</f>
        <v>-0.365522892683822</v>
      </c>
      <c r="C13" s="22" t="n">
        <f aca="false">[17]output_table!g9/100</f>
        <v>-0.650994308739387</v>
      </c>
      <c r="D13" s="23" t="n">
        <f aca="false">[17]output_table!h9/100</f>
        <v>0.285471416055564</v>
      </c>
    </row>
    <row r="14" customFormat="false" ht="15.75" hidden="false" customHeight="true" outlineLevel="0" collapsed="false">
      <c r="A14" s="20" t="s">
        <v>99</v>
      </c>
      <c r="B14" s="21" t="n">
        <f aca="false">[17]output_table!f10/100</f>
        <v>-0.250917593720215</v>
      </c>
      <c r="C14" s="22" t="n">
        <f aca="false">[17]output_table!g10/100</f>
        <v>0.255183984376721</v>
      </c>
      <c r="D14" s="23" t="n">
        <f aca="false">[17]output_table!h10/100</f>
        <v>-0.506101578096936</v>
      </c>
    </row>
    <row r="15" customFormat="false" ht="15.75" hidden="false" customHeight="true" outlineLevel="0" collapsed="false">
      <c r="A15" s="20" t="s">
        <v>100</v>
      </c>
      <c r="B15" s="21" t="n">
        <f aca="false">[17]output_table!f11/100</f>
        <v>-0.528222766505924</v>
      </c>
      <c r="C15" s="22" t="n">
        <f aca="false">[17]output_table!g11/100</f>
        <v>-0.494796291696242</v>
      </c>
      <c r="D15" s="23" t="n">
        <f aca="false">[17]output_table!h11/100</f>
        <v>-0.0334264748096826</v>
      </c>
    </row>
    <row r="16" customFormat="false" ht="15.75" hidden="false" customHeight="true" outlineLevel="0" collapsed="false">
      <c r="A16" s="20" t="s">
        <v>101</v>
      </c>
      <c r="B16" s="21" t="n">
        <f aca="false">[17]output_table!f12/100</f>
        <v>-0.24755687743927</v>
      </c>
      <c r="C16" s="22" t="n">
        <f aca="false">[17]output_table!g12/100</f>
        <v>0.0236952158886753</v>
      </c>
      <c r="D16" s="23" t="n">
        <f aca="false">[17]output_table!h12/100</f>
        <v>-0.271252093327945</v>
      </c>
    </row>
    <row r="17" customFormat="false" ht="15.75" hidden="false" customHeight="true" outlineLevel="0" collapsed="false">
      <c r="A17" s="20" t="s">
        <v>102</v>
      </c>
      <c r="B17" s="21" t="n">
        <f aca="false">[17]output_table!f13/100</f>
        <v>-0.156424473722344</v>
      </c>
      <c r="C17" s="22" t="n">
        <f aca="false">[17]output_table!g13/100</f>
        <v>-0.0726777370056549</v>
      </c>
      <c r="D17" s="23" t="n">
        <f aca="false">[17]output_table!h13/100</f>
        <v>-0.0837467367166889</v>
      </c>
    </row>
    <row r="18" customFormat="false" ht="15.75" hidden="false" customHeight="true" outlineLevel="0" collapsed="false">
      <c r="A18" s="20" t="s">
        <v>103</v>
      </c>
      <c r="B18" s="21" t="n">
        <f aca="false">[17]output_table!f14/100</f>
        <v>-0.551850295413999</v>
      </c>
      <c r="C18" s="22" t="n">
        <f aca="false">[17]output_table!g14/100</f>
        <v>-0.675679778062228</v>
      </c>
      <c r="D18" s="23" t="n">
        <f aca="false">[17]output_table!h14/100</f>
        <v>0.123829482648229</v>
      </c>
    </row>
    <row r="19" customFormat="false" ht="15.75" hidden="false" customHeight="true" outlineLevel="0" collapsed="false">
      <c r="A19" s="20" t="s">
        <v>104</v>
      </c>
      <c r="B19" s="21" t="n">
        <f aca="false">[17]output_table!f15/100</f>
        <v>-0.267487835690827</v>
      </c>
      <c r="C19" s="22" t="n">
        <f aca="false">[17]output_table!g15/100</f>
        <v>0.212139561635796</v>
      </c>
      <c r="D19" s="23" t="n">
        <f aca="false">[17]output_table!h15/100</f>
        <v>-0.479627397326623</v>
      </c>
    </row>
    <row r="20" customFormat="false" ht="15.75" hidden="false" customHeight="true" outlineLevel="0" collapsed="false">
      <c r="A20" s="20" t="s">
        <v>105</v>
      </c>
      <c r="B20" s="21" t="n">
        <f aca="false">[17]output_table!f16/100</f>
        <v>-0.00440332907420678</v>
      </c>
      <c r="C20" s="22" t="n">
        <f aca="false">[17]output_table!g16/100</f>
        <v>0.0738191669455638</v>
      </c>
      <c r="D20" s="23" t="n">
        <f aca="false">[17]output_table!h16/100</f>
        <v>-0.0782224960197706</v>
      </c>
    </row>
    <row r="21" customFormat="false" ht="15.75" hidden="false" customHeight="true" outlineLevel="0" collapsed="false">
      <c r="A21" s="20" t="s">
        <v>106</v>
      </c>
      <c r="B21" s="21" t="n">
        <f aca="false">[17]output_table!f17/100</f>
        <v>-0.554546070843232</v>
      </c>
      <c r="C21" s="22" t="n">
        <f aca="false">[17]output_table!g17/100</f>
        <v>-0.932922001718677</v>
      </c>
      <c r="D21" s="23" t="n">
        <f aca="false">[17]output_table!h17/100</f>
        <v>0.378375930875445</v>
      </c>
    </row>
    <row r="22" customFormat="false" ht="15.75" hidden="false" customHeight="true" outlineLevel="0" collapsed="false">
      <c r="A22" s="20" t="s">
        <v>107</v>
      </c>
      <c r="B22" s="21" t="n">
        <f aca="false">[17]output_table!f18/100</f>
        <v>-0.736781343929775</v>
      </c>
      <c r="C22" s="22" t="n">
        <f aca="false">[17]output_table!g18/100</f>
        <v>-1.31303368987624</v>
      </c>
      <c r="D22" s="23" t="n">
        <f aca="false">[17]output_table!h18/100</f>
        <v>0.576252345946464</v>
      </c>
    </row>
    <row r="23" customFormat="false" ht="15.75" hidden="false" customHeight="true" outlineLevel="0" collapsed="false">
      <c r="A23" s="20" t="s">
        <v>108</v>
      </c>
      <c r="B23" s="21" t="n">
        <f aca="false">[17]output_table!f19/100</f>
        <v>-0.337270827711637</v>
      </c>
      <c r="C23" s="22" t="n">
        <f aca="false">[17]output_table!g19/100</f>
        <v>-0.895397696913853</v>
      </c>
      <c r="D23" s="23" t="n">
        <f aca="false">[17]output_table!h19/100</f>
        <v>0.558126869202217</v>
      </c>
    </row>
    <row r="24" customFormat="false" ht="15.75" hidden="false" customHeight="true" outlineLevel="0" collapsed="false">
      <c r="A24" s="20" t="s">
        <v>109</v>
      </c>
      <c r="B24" s="21" t="n">
        <f aca="false">[17]output_table!f20/100</f>
        <v>-0.0676005737182877</v>
      </c>
      <c r="C24" s="22" t="n">
        <f aca="false">[17]output_table!g20/100</f>
        <v>-0.607427671345438</v>
      </c>
      <c r="D24" s="23" t="n">
        <f aca="false">[17]output_table!h20/100</f>
        <v>0.53982709762715</v>
      </c>
    </row>
    <row r="25" customFormat="false" ht="15.75" hidden="false" customHeight="true" outlineLevel="0" collapsed="false">
      <c r="A25" s="20" t="s">
        <v>110</v>
      </c>
      <c r="B25" s="21" t="n">
        <f aca="false">[17]output_table!f21/100</f>
        <v>0.00749995432915063</v>
      </c>
      <c r="C25" s="22" t="n">
        <f aca="false">[17]output_table!g21/100</f>
        <v>-0.0132784115643864</v>
      </c>
      <c r="D25" s="23" t="n">
        <f aca="false">[17]output_table!h21/100</f>
        <v>0.020778365893537</v>
      </c>
    </row>
    <row r="26" customFormat="false" ht="15.75" hidden="false" customHeight="true" outlineLevel="0" collapsed="false">
      <c r="A26" s="20" t="s">
        <v>111</v>
      </c>
      <c r="B26" s="21" t="n">
        <f aca="false">[17]output_table!f22/100</f>
        <v>-0.00281106904340066</v>
      </c>
      <c r="C26" s="22" t="n">
        <f aca="false">[17]output_table!g22/100</f>
        <v>-0.0778661439446388</v>
      </c>
      <c r="D26" s="23" t="n">
        <f aca="false">[17]output_table!h22/100</f>
        <v>0.0750550749012382</v>
      </c>
    </row>
    <row r="27" customFormat="false" ht="15.75" hidden="false" customHeight="true" outlineLevel="0" collapsed="false">
      <c r="A27" s="20" t="s">
        <v>112</v>
      </c>
      <c r="B27" s="21" t="n">
        <f aca="false">[17]output_table!f23/100</f>
        <v>-0.800799467427782</v>
      </c>
      <c r="C27" s="22" t="n">
        <f aca="false">[17]output_table!g23/100</f>
        <v>-0.436875986809105</v>
      </c>
      <c r="D27" s="23" t="n">
        <f aca="false">[17]output_table!h23/100</f>
        <v>-0.363923480618676</v>
      </c>
    </row>
    <row r="28" customFormat="false" ht="15.75" hidden="false" customHeight="true" outlineLevel="0" collapsed="false">
      <c r="A28" s="20" t="s">
        <v>113</v>
      </c>
      <c r="B28" s="21" t="n">
        <f aca="false">[17]output_table!f24/100</f>
        <v>-0.411098142677442</v>
      </c>
      <c r="C28" s="22" t="n">
        <f aca="false">[17]output_table!g24/100</f>
        <v>-0.278683478208008</v>
      </c>
      <c r="D28" s="23" t="n">
        <f aca="false">[17]output_table!h24/100</f>
        <v>-0.132414664469434</v>
      </c>
    </row>
    <row r="29" customFormat="false" ht="15.75" hidden="false" customHeight="true" outlineLevel="0" collapsed="false">
      <c r="A29" s="20" t="s">
        <v>114</v>
      </c>
      <c r="B29" s="21" t="n">
        <f aca="false">[17]output_table!f25/100</f>
        <v>-0.59339055951835</v>
      </c>
      <c r="C29" s="22" t="n">
        <f aca="false">[17]output_table!g25/100</f>
        <v>-0.29896357017374</v>
      </c>
      <c r="D29" s="23" t="n">
        <f aca="false">[17]output_table!h25/100</f>
        <v>-0.29442698934461</v>
      </c>
    </row>
    <row r="30" customFormat="false" ht="15.75" hidden="false" customHeight="true" outlineLevel="0" collapsed="false">
      <c r="A30" s="24" t="s">
        <v>115</v>
      </c>
      <c r="B30" s="25" t="n">
        <f aca="false">[17]output_table!f26/100</f>
        <v>-0.0218408570597907</v>
      </c>
      <c r="C30" s="26" t="n">
        <f aca="false">[17]output_table!g26/100</f>
        <v>0.0682119619903455</v>
      </c>
      <c r="D30" s="27" t="n">
        <f aca="false">[17]output_table!h26/100</f>
        <v>-0.0900528190501362</v>
      </c>
    </row>
    <row r="31" customFormat="false" ht="12.8" hidden="false" customHeight="false" outlineLevel="0" collapsed="false">
      <c r="A31" s="10" t="s">
        <v>116</v>
      </c>
      <c r="B31" s="28" t="n">
        <f aca="false">AVERAGE(B6:B30)</f>
        <v>-0.358002997770158</v>
      </c>
      <c r="C31" s="28" t="n">
        <f aca="false">AVERAGE(C6:C30)</f>
        <v>-0.42150860954758</v>
      </c>
      <c r="D31" s="28" t="n">
        <f aca="false">AVERAGE(D6:D30)</f>
        <v>0.0635056117774216</v>
      </c>
    </row>
    <row r="32" customFormat="false" ht="12.8" hidden="false" customHeight="false" outlineLevel="0" collapsed="false"/>
    <row r="33" customFormat="false" ht="36.8" hidden="false" customHeight="true" outlineLevel="0" collapsed="false">
      <c r="A33" s="29" t="s">
        <v>117</v>
      </c>
      <c r="B33" s="29"/>
      <c r="C33" s="29"/>
      <c r="D33" s="29"/>
    </row>
  </sheetData>
  <mergeCells count="1">
    <mergeCell ref="A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40</v>
      </c>
    </row>
    <row r="3" customFormat="false" ht="15.75" hidden="false" customHeight="true" outlineLevel="0" collapsed="false">
      <c r="A3" s="10" t="str">
        <f aca="false">CONCATENATE("Title: Changes in average volatility due to measured changes in trade barriers, alternative calibrations (",_xlfn.UNICHAR(952), " = 2 and ",_xlfn.UNICHAR(952), " = 8)")</f>
        <v>Title: Changes in average volatility due to measured changes in trade barriers, alternative calibrations (θ = 2 and θ = 8)</v>
      </c>
    </row>
    <row r="5" customFormat="false" ht="15.75" hidden="false" customHeight="true" outlineLevel="0" collapsed="false">
      <c r="B5" s="30" t="str">
        <f aca="false">CONCATENATE(_xlfn.UNICHAR(952)," = 2")</f>
        <v>θ = 2</v>
      </c>
      <c r="C5" s="30"/>
      <c r="D5" s="30"/>
      <c r="E5" s="30" t="str">
        <f aca="false">CONCATENATE(_xlfn.UNICHAR(952)," = 8")</f>
        <v>θ = 8</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[18]output_table!f2/100</f>
        <v>-0.195456012822419</v>
      </c>
      <c r="C7" s="18" t="n">
        <f aca="false">[18]output_table!g2/100</f>
        <v>-0.0762939628969471</v>
      </c>
      <c r="D7" s="19" t="n">
        <f aca="false">[18]output_table!h2/100</f>
        <v>-0.119162049925472</v>
      </c>
      <c r="E7" s="17" t="n">
        <f aca="false">[19]output_table!f2/100</f>
        <v>0.00689109365527442</v>
      </c>
      <c r="F7" s="18" t="n">
        <f aca="false">[19]output_table!g2/100</f>
        <v>0.00649997889022571</v>
      </c>
      <c r="G7" s="19" t="n">
        <f aca="false">[19]output_table!h2/100</f>
        <v>0.000391114765048712</v>
      </c>
    </row>
    <row r="8" customFormat="false" ht="15.75" hidden="false" customHeight="true" outlineLevel="0" collapsed="false">
      <c r="A8" s="20" t="s">
        <v>92</v>
      </c>
      <c r="B8" s="21" t="n">
        <f aca="false">[18]output_table!f3/100</f>
        <v>-0.663497525928458</v>
      </c>
      <c r="C8" s="22" t="n">
        <f aca="false">[18]output_table!g3/100</f>
        <v>-1.44223979988593</v>
      </c>
      <c r="D8" s="23" t="n">
        <f aca="false">[18]output_table!h3/100</f>
        <v>0.778742273957467</v>
      </c>
      <c r="E8" s="21" t="n">
        <f aca="false">[19]output_table!f3/100</f>
        <v>-0.313171540115281</v>
      </c>
      <c r="F8" s="22" t="n">
        <f aca="false">[19]output_table!g3/100</f>
        <v>-0.712327728032718</v>
      </c>
      <c r="G8" s="23" t="n">
        <f aca="false">[19]output_table!h3/100</f>
        <v>0.399156187917438</v>
      </c>
    </row>
    <row r="9" customFormat="false" ht="15.75" hidden="false" customHeight="true" outlineLevel="0" collapsed="false">
      <c r="A9" s="20" t="s">
        <v>93</v>
      </c>
      <c r="B9" s="21" t="n">
        <f aca="false">[18]output_table!f4/100</f>
        <v>-0.782912436444313</v>
      </c>
      <c r="C9" s="22" t="n">
        <f aca="false">[18]output_table!g4/100</f>
        <v>-1.28989865407605</v>
      </c>
      <c r="D9" s="23" t="n">
        <f aca="false">[18]output_table!h4/100</f>
        <v>0.506986217631734</v>
      </c>
      <c r="E9" s="21" t="n">
        <f aca="false">[19]output_table!f4/100</f>
        <v>-0.538721161130041</v>
      </c>
      <c r="F9" s="22" t="n">
        <f aca="false">[19]output_table!g4/100</f>
        <v>-0.735719274033354</v>
      </c>
      <c r="G9" s="23" t="n">
        <f aca="false">[19]output_table!h4/100</f>
        <v>0.196998112903313</v>
      </c>
    </row>
    <row r="10" customFormat="false" ht="15.75" hidden="false" customHeight="true" outlineLevel="0" collapsed="false">
      <c r="A10" s="20" t="s">
        <v>94</v>
      </c>
      <c r="B10" s="21" t="n">
        <f aca="false">[18]output_table!f5/100</f>
        <v>-0.796424673540579</v>
      </c>
      <c r="C10" s="22" t="n">
        <f aca="false">[18]output_table!g5/100</f>
        <v>-1.11658211278846</v>
      </c>
      <c r="D10" s="23" t="n">
        <f aca="false">[18]output_table!h5/100</f>
        <v>0.320157439247883</v>
      </c>
      <c r="E10" s="21" t="n">
        <f aca="false">[19]output_table!f5/100</f>
        <v>-0.559552404428891</v>
      </c>
      <c r="F10" s="22" t="n">
        <f aca="false">[19]output_table!g5/100</f>
        <v>-0.715760071188871</v>
      </c>
      <c r="G10" s="23" t="n">
        <f aca="false">[19]output_table!h5/100</f>
        <v>0.15620766675998</v>
      </c>
    </row>
    <row r="11" customFormat="false" ht="15.75" hidden="false" customHeight="true" outlineLevel="0" collapsed="false">
      <c r="A11" s="20" t="s">
        <v>95</v>
      </c>
      <c r="B11" s="21" t="n">
        <f aca="false">[18]output_table!f6/100</f>
        <v>0.0118147506297511</v>
      </c>
      <c r="C11" s="22" t="n">
        <f aca="false">[18]output_table!g6/100</f>
        <v>0.0107233371200198</v>
      </c>
      <c r="D11" s="23" t="n">
        <f aca="false">[18]output_table!h6/100</f>
        <v>0.00109141350973133</v>
      </c>
      <c r="E11" s="21" t="n">
        <f aca="false">[19]output_table!f6/100</f>
        <v>0.00674530741769233</v>
      </c>
      <c r="F11" s="22" t="n">
        <f aca="false">[19]output_table!g6/100</f>
        <v>-0.00170259971230099</v>
      </c>
      <c r="G11" s="23" t="n">
        <f aca="false">[19]output_table!h6/100</f>
        <v>0.00844790712999332</v>
      </c>
    </row>
    <row r="12" customFormat="false" ht="15.75" hidden="false" customHeight="true" outlineLevel="0" collapsed="false">
      <c r="A12" s="20" t="s">
        <v>96</v>
      </c>
      <c r="B12" s="21" t="n">
        <f aca="false">[18]output_table!f7/100</f>
        <v>-0.697124497986615</v>
      </c>
      <c r="C12" s="22" t="n">
        <f aca="false">[18]output_table!g7/100</f>
        <v>-1.04716197208135</v>
      </c>
      <c r="D12" s="23" t="n">
        <f aca="false">[18]output_table!h7/100</f>
        <v>0.350037474094737</v>
      </c>
      <c r="E12" s="21" t="n">
        <f aca="false">[19]output_table!f7/100</f>
        <v>-0.187215870935943</v>
      </c>
      <c r="F12" s="22" t="n">
        <f aca="false">[19]output_table!g7/100</f>
        <v>-0.254076018552826</v>
      </c>
      <c r="G12" s="23" t="n">
        <f aca="false">[19]output_table!h7/100</f>
        <v>0.0668601476168835</v>
      </c>
    </row>
    <row r="13" customFormat="false" ht="15.75" hidden="false" customHeight="true" outlineLevel="0" collapsed="false">
      <c r="A13" s="20" t="s">
        <v>97</v>
      </c>
      <c r="B13" s="21" t="n">
        <f aca="false">[18]output_table!f8/100</f>
        <v>-0.876804814705405</v>
      </c>
      <c r="C13" s="22" t="n">
        <f aca="false">[18]output_table!g8/100</f>
        <v>-0.545393880311105</v>
      </c>
      <c r="D13" s="23" t="n">
        <f aca="false">[18]output_table!h8/100</f>
        <v>-0.331410934394299</v>
      </c>
      <c r="E13" s="21" t="n">
        <f aca="false">[19]output_table!f8/100</f>
        <v>-0.564364469747559</v>
      </c>
      <c r="F13" s="22" t="n">
        <f aca="false">[19]output_table!g8/100</f>
        <v>-0.271575102571685</v>
      </c>
      <c r="G13" s="23" t="n">
        <f aca="false">[19]output_table!h8/100</f>
        <v>-0.292789367175874</v>
      </c>
    </row>
    <row r="14" customFormat="false" ht="15.75" hidden="false" customHeight="true" outlineLevel="0" collapsed="false">
      <c r="A14" s="20" t="s">
        <v>98</v>
      </c>
      <c r="B14" s="21" t="n">
        <f aca="false">[18]output_table!f9/100</f>
        <v>-0.601000597381984</v>
      </c>
      <c r="C14" s="22" t="n">
        <f aca="false">[18]output_table!g9/100</f>
        <v>-1.19966010491884</v>
      </c>
      <c r="D14" s="23" t="n">
        <f aca="false">[18]output_table!h9/100</f>
        <v>0.598659507536854</v>
      </c>
      <c r="E14" s="21" t="n">
        <f aca="false">[19]output_table!f9/100</f>
        <v>-0.223215887104248</v>
      </c>
      <c r="F14" s="22" t="n">
        <f aca="false">[19]output_table!g9/100</f>
        <v>-0.309373823066148</v>
      </c>
      <c r="G14" s="23" t="n">
        <f aca="false">[19]output_table!h9/100</f>
        <v>0.0861579359619005</v>
      </c>
    </row>
    <row r="15" customFormat="false" ht="15.75" hidden="false" customHeight="true" outlineLevel="0" collapsed="false">
      <c r="A15" s="20" t="s">
        <v>99</v>
      </c>
      <c r="B15" s="21" t="n">
        <f aca="false">[18]output_table!f10/100</f>
        <v>-0.440729376971928</v>
      </c>
      <c r="C15" s="22" t="n">
        <f aca="false">[18]output_table!g10/100</f>
        <v>0.607493158770242</v>
      </c>
      <c r="D15" s="23" t="n">
        <f aca="false">[18]output_table!h10/100</f>
        <v>-1.04822253574217</v>
      </c>
      <c r="E15" s="21" t="n">
        <f aca="false">[19]output_table!f10/100</f>
        <v>-0.139107569968002</v>
      </c>
      <c r="F15" s="22" t="n">
        <f aca="false">[19]output_table!g10/100</f>
        <v>0.107590057264539</v>
      </c>
      <c r="G15" s="23" t="n">
        <f aca="false">[19]output_table!h10/100</f>
        <v>-0.246697627232541</v>
      </c>
    </row>
    <row r="16" customFormat="false" ht="15.75" hidden="false" customHeight="true" outlineLevel="0" collapsed="false">
      <c r="A16" s="20" t="s">
        <v>100</v>
      </c>
      <c r="B16" s="21" t="n">
        <f aca="false">[18]output_table!f11/100</f>
        <v>-0.737023429198587</v>
      </c>
      <c r="C16" s="22" t="n">
        <f aca="false">[18]output_table!g11/100</f>
        <v>-0.848297605512319</v>
      </c>
      <c r="D16" s="23" t="n">
        <f aca="false">[18]output_table!h11/100</f>
        <v>0.111274176313733</v>
      </c>
      <c r="E16" s="21" t="n">
        <f aca="false">[19]output_table!f11/100</f>
        <v>-0.287549032597503</v>
      </c>
      <c r="F16" s="22" t="n">
        <f aca="false">[19]output_table!g11/100</f>
        <v>-0.188341965059064</v>
      </c>
      <c r="G16" s="23" t="n">
        <f aca="false">[19]output_table!h11/100</f>
        <v>-0.0992070675384384</v>
      </c>
    </row>
    <row r="17" customFormat="false" ht="15.75" hidden="false" customHeight="true" outlineLevel="0" collapsed="false">
      <c r="A17" s="20" t="s">
        <v>101</v>
      </c>
      <c r="B17" s="21" t="n">
        <f aca="false">[18]output_table!f12/100</f>
        <v>-0.572204796265069</v>
      </c>
      <c r="C17" s="22" t="n">
        <f aca="false">[18]output_table!g12/100</f>
        <v>-0.164903768410556</v>
      </c>
      <c r="D17" s="23" t="n">
        <f aca="false">[18]output_table!h12/100</f>
        <v>-0.407301027854513</v>
      </c>
      <c r="E17" s="21" t="n">
        <f aca="false">[19]output_table!f12/100</f>
        <v>-0.0630451195688968</v>
      </c>
      <c r="F17" s="22" t="n">
        <f aca="false">[19]output_table!g12/100</f>
        <v>0.159116842533011</v>
      </c>
      <c r="G17" s="23" t="n">
        <f aca="false">[19]output_table!h12/100</f>
        <v>-0.222161962101908</v>
      </c>
    </row>
    <row r="18" customFormat="false" ht="15.75" hidden="false" customHeight="true" outlineLevel="0" collapsed="false">
      <c r="A18" s="20" t="s">
        <v>102</v>
      </c>
      <c r="B18" s="21" t="n">
        <f aca="false">[18]output_table!f13/100</f>
        <v>-0.375614780513543</v>
      </c>
      <c r="C18" s="22" t="n">
        <f aca="false">[18]output_table!g13/100</f>
        <v>-0.184025144664517</v>
      </c>
      <c r="D18" s="23" t="n">
        <f aca="false">[18]output_table!h13/100</f>
        <v>-0.191589635849026</v>
      </c>
      <c r="E18" s="21" t="n">
        <f aca="false">[19]output_table!f13/100</f>
        <v>-0.0530721568729032</v>
      </c>
      <c r="F18" s="22" t="n">
        <f aca="false">[19]output_table!g13/100</f>
        <v>-0.00536179475885627</v>
      </c>
      <c r="G18" s="23" t="n">
        <f aca="false">[19]output_table!h13/100</f>
        <v>-0.0477103621140469</v>
      </c>
    </row>
    <row r="19" customFormat="false" ht="15.75" hidden="false" customHeight="true" outlineLevel="0" collapsed="false">
      <c r="A19" s="20" t="s">
        <v>103</v>
      </c>
      <c r="B19" s="21" t="n">
        <f aca="false">[18]output_table!f14/100</f>
        <v>-0.705228351811284</v>
      </c>
      <c r="C19" s="22" t="n">
        <f aca="false">[18]output_table!g14/100</f>
        <v>-1.02207096908014</v>
      </c>
      <c r="D19" s="23" t="n">
        <f aca="false">[18]output_table!h14/100</f>
        <v>0.316842617268854</v>
      </c>
      <c r="E19" s="21" t="n">
        <f aca="false">[19]output_table!f14/100</f>
        <v>-0.455306500805499</v>
      </c>
      <c r="F19" s="22" t="n">
        <f aca="false">[19]output_table!g14/100</f>
        <v>-0.292600700045955</v>
      </c>
      <c r="G19" s="23" t="n">
        <f aca="false">[19]output_table!h14/100</f>
        <v>-0.162705800759545</v>
      </c>
    </row>
    <row r="20" customFormat="false" ht="15.75" hidden="false" customHeight="true" outlineLevel="0" collapsed="false">
      <c r="A20" s="20" t="s">
        <v>104</v>
      </c>
      <c r="B20" s="21" t="n">
        <f aca="false">[18]output_table!f15/100</f>
        <v>-0.492743193053915</v>
      </c>
      <c r="C20" s="22" t="n">
        <f aca="false">[18]output_table!g15/100</f>
        <v>0.438417697433374</v>
      </c>
      <c r="D20" s="23" t="n">
        <f aca="false">[18]output_table!h15/100</f>
        <v>-0.931160890487289</v>
      </c>
      <c r="E20" s="21" t="n">
        <f aca="false">[19]output_table!f15/100</f>
        <v>-0.155849285066986</v>
      </c>
      <c r="F20" s="22" t="n">
        <f aca="false">[19]output_table!g15/100</f>
        <v>0.0930473107126945</v>
      </c>
      <c r="G20" s="23" t="n">
        <f aca="false">[19]output_table!h15/100</f>
        <v>-0.24889659577968</v>
      </c>
    </row>
    <row r="21" customFormat="false" ht="15.75" hidden="false" customHeight="true" outlineLevel="0" collapsed="false">
      <c r="A21" s="20" t="s">
        <v>105</v>
      </c>
      <c r="B21" s="21" t="n">
        <f aca="false">[18]output_table!f16/100</f>
        <v>-0.106458130617246</v>
      </c>
      <c r="C21" s="22" t="n">
        <f aca="false">[18]output_table!g16/100</f>
        <v>0.108250990620459</v>
      </c>
      <c r="D21" s="23" t="n">
        <f aca="false">[18]output_table!h16/100</f>
        <v>-0.214709121237704</v>
      </c>
      <c r="E21" s="21" t="n">
        <f aca="false">[19]output_table!f16/100</f>
        <v>0.0117428870272304</v>
      </c>
      <c r="F21" s="22" t="n">
        <f aca="false">[19]output_table!g16/100</f>
        <v>0.04824560668534</v>
      </c>
      <c r="G21" s="23" t="n">
        <f aca="false">[19]output_table!h16/100</f>
        <v>-0.0365027196581096</v>
      </c>
    </row>
    <row r="22" customFormat="false" ht="15.75" hidden="false" customHeight="true" outlineLevel="0" collapsed="false">
      <c r="A22" s="20" t="s">
        <v>106</v>
      </c>
      <c r="B22" s="21" t="n">
        <f aca="false">[18]output_table!f17/100</f>
        <v>-0.741620260727143</v>
      </c>
      <c r="C22" s="22" t="n">
        <f aca="false">[18]output_table!g17/100</f>
        <v>-1.44533013441091</v>
      </c>
      <c r="D22" s="23" t="n">
        <f aca="false">[18]output_table!h17/100</f>
        <v>0.70370987368377</v>
      </c>
      <c r="E22" s="21" t="n">
        <f aca="false">[19]output_table!f17/100</f>
        <v>-0.33211260518518</v>
      </c>
      <c r="F22" s="22" t="n">
        <f aca="false">[19]output_table!g17/100</f>
        <v>-0.439250071405402</v>
      </c>
      <c r="G22" s="23" t="n">
        <f aca="false">[19]output_table!h17/100</f>
        <v>0.107137466220221</v>
      </c>
    </row>
    <row r="23" customFormat="false" ht="15.75" hidden="false" customHeight="true" outlineLevel="0" collapsed="false">
      <c r="A23" s="20" t="s">
        <v>107</v>
      </c>
      <c r="B23" s="21" t="n">
        <f aca="false">[18]output_table!f18/100</f>
        <v>-0.851609608469503</v>
      </c>
      <c r="C23" s="22" t="n">
        <f aca="false">[18]output_table!g18/100</f>
        <v>-1.5105840779276</v>
      </c>
      <c r="D23" s="23" t="n">
        <f aca="false">[18]output_table!h18/100</f>
        <v>0.6589744694581</v>
      </c>
      <c r="E23" s="21" t="n">
        <f aca="false">[19]output_table!f18/100</f>
        <v>-0.535107507452821</v>
      </c>
      <c r="F23" s="22" t="n">
        <f aca="false">[19]output_table!g18/100</f>
        <v>-0.89268452806336</v>
      </c>
      <c r="G23" s="23" t="n">
        <f aca="false">[19]output_table!h18/100</f>
        <v>0.357577020610538</v>
      </c>
    </row>
    <row r="24" customFormat="false" ht="15.75" hidden="false" customHeight="true" outlineLevel="0" collapsed="false">
      <c r="A24" s="20" t="s">
        <v>108</v>
      </c>
      <c r="B24" s="21" t="n">
        <f aca="false">[18]output_table!f19/100</f>
        <v>-0.610070513183542</v>
      </c>
      <c r="C24" s="22" t="n">
        <f aca="false">[18]output_table!g19/100</f>
        <v>-1.37311494986684</v>
      </c>
      <c r="D24" s="23" t="n">
        <f aca="false">[18]output_table!h19/100</f>
        <v>0.763044436683298</v>
      </c>
      <c r="E24" s="21" t="n">
        <f aca="false">[19]output_table!f19/100</f>
        <v>-0.11849046924393</v>
      </c>
      <c r="F24" s="22" t="n">
        <f aca="false">[19]output_table!g19/100</f>
        <v>-0.359745296759972</v>
      </c>
      <c r="G24" s="23" t="n">
        <f aca="false">[19]output_table!h19/100</f>
        <v>0.241254827516042</v>
      </c>
    </row>
    <row r="25" customFormat="false" ht="15.75" hidden="false" customHeight="true" outlineLevel="0" collapsed="false">
      <c r="A25" s="20" t="s">
        <v>109</v>
      </c>
      <c r="B25" s="21" t="n">
        <f aca="false">[18]output_table!f20/100</f>
        <v>-0.437814440177531</v>
      </c>
      <c r="C25" s="22" t="n">
        <f aca="false">[18]output_table!g20/100</f>
        <v>-1.16664143357821</v>
      </c>
      <c r="D25" s="23" t="n">
        <f aca="false">[18]output_table!h20/100</f>
        <v>0.728826993400676</v>
      </c>
      <c r="E25" s="21" t="n">
        <f aca="false">[19]output_table!f20/100</f>
        <v>0.0496377618023485</v>
      </c>
      <c r="F25" s="22" t="n">
        <f aca="false">[19]output_table!g20/100</f>
        <v>-0.183307558482055</v>
      </c>
      <c r="G25" s="23" t="n">
        <f aca="false">[19]output_table!h20/100</f>
        <v>0.232945320284404</v>
      </c>
    </row>
    <row r="26" customFormat="false" ht="15.75" hidden="false" customHeight="true" outlineLevel="0" collapsed="false">
      <c r="A26" s="20" t="s">
        <v>110</v>
      </c>
      <c r="B26" s="21" t="n">
        <f aca="false">[18]output_table!f21/100</f>
        <v>0.00968325866410428</v>
      </c>
      <c r="C26" s="22" t="n">
        <f aca="false">[18]output_table!g21/100</f>
        <v>-0.0104735658795994</v>
      </c>
      <c r="D26" s="23" t="n">
        <f aca="false">[18]output_table!h21/100</f>
        <v>0.0201568245437038</v>
      </c>
      <c r="E26" s="21" t="n">
        <f aca="false">[19]output_table!f21/100</f>
        <v>0.00187923026933303</v>
      </c>
      <c r="F26" s="22" t="n">
        <f aca="false">[19]output_table!g21/100</f>
        <v>-0.0172433734555682</v>
      </c>
      <c r="G26" s="23" t="n">
        <f aca="false">[19]output_table!h21/100</f>
        <v>0.0191226037249013</v>
      </c>
    </row>
    <row r="27" customFormat="false" ht="15.75" hidden="false" customHeight="true" outlineLevel="0" collapsed="false">
      <c r="A27" s="20" t="s">
        <v>111</v>
      </c>
      <c r="B27" s="21" t="n">
        <f aca="false">[18]output_table!f22/100</f>
        <v>-0.220810716978395</v>
      </c>
      <c r="C27" s="22" t="n">
        <f aca="false">[18]output_table!g22/100</f>
        <v>-0.552488165375405</v>
      </c>
      <c r="D27" s="23" t="n">
        <f aca="false">[18]output_table!h22/100</f>
        <v>0.33167744839701</v>
      </c>
      <c r="E27" s="21" t="n">
        <f aca="false">[19]output_table!f22/100</f>
        <v>0.0354073107289638</v>
      </c>
      <c r="F27" s="22" t="n">
        <f aca="false">[19]output_table!g22/100</f>
        <v>0.0443955176120062</v>
      </c>
      <c r="G27" s="23" t="n">
        <f aca="false">[19]output_table!h22/100</f>
        <v>-0.0089882068830424</v>
      </c>
    </row>
    <row r="28" customFormat="false" ht="15.75" hidden="false" customHeight="true" outlineLevel="0" collapsed="false">
      <c r="A28" s="20" t="s">
        <v>112</v>
      </c>
      <c r="B28" s="21" t="n">
        <f aca="false">[18]output_table!f23/100</f>
        <v>-0.909874733627549</v>
      </c>
      <c r="C28" s="22" t="n">
        <f aca="false">[18]output_table!g23/100</f>
        <v>-0.592772806178478</v>
      </c>
      <c r="D28" s="23" t="n">
        <f aca="false">[18]output_table!h23/100</f>
        <v>-0.31710192744907</v>
      </c>
      <c r="E28" s="21" t="n">
        <f aca="false">[19]output_table!f23/100</f>
        <v>-0.596075693660874</v>
      </c>
      <c r="F28" s="22" t="n">
        <f aca="false">[19]output_table!g23/100</f>
        <v>-0.222149497081964</v>
      </c>
      <c r="G28" s="23" t="n">
        <f aca="false">[19]output_table!h23/100</f>
        <v>-0.373926196578909</v>
      </c>
    </row>
    <row r="29" customFormat="false" ht="15.75" hidden="false" customHeight="true" outlineLevel="0" collapsed="false">
      <c r="A29" s="20" t="s">
        <v>113</v>
      </c>
      <c r="B29" s="21" t="n">
        <f aca="false">[18]output_table!f24/100</f>
        <v>-0.566623809066274</v>
      </c>
      <c r="C29" s="22" t="n">
        <f aca="false">[18]output_table!g24/100</f>
        <v>-0.642269152495543</v>
      </c>
      <c r="D29" s="23" t="n">
        <f aca="false">[18]output_table!h24/100</f>
        <v>0.0756453434292696</v>
      </c>
      <c r="E29" s="21" t="n">
        <f aca="false">[19]output_table!f24/100</f>
        <v>-0.274418913455943</v>
      </c>
      <c r="F29" s="22" t="n">
        <f aca="false">[19]output_table!g24/100</f>
        <v>-0.0899329271276991</v>
      </c>
      <c r="G29" s="23" t="n">
        <f aca="false">[19]output_table!h24/100</f>
        <v>-0.184485986328244</v>
      </c>
    </row>
    <row r="30" customFormat="false" ht="15.75" hidden="false" customHeight="true" outlineLevel="0" collapsed="false">
      <c r="A30" s="20" t="s">
        <v>114</v>
      </c>
      <c r="B30" s="21" t="n">
        <f aca="false">[18]output_table!f25/100</f>
        <v>-0.788381487923293</v>
      </c>
      <c r="C30" s="22" t="n">
        <f aca="false">[18]output_table!g25/100</f>
        <v>-0.486513689800799</v>
      </c>
      <c r="D30" s="23" t="n">
        <f aca="false">[18]output_table!h25/100</f>
        <v>-0.301867798122494</v>
      </c>
      <c r="E30" s="21" t="n">
        <f aca="false">[19]output_table!f25/100</f>
        <v>-0.356155129591483</v>
      </c>
      <c r="F30" s="22" t="n">
        <f aca="false">[19]output_table!g25/100</f>
        <v>-0.10944183178049</v>
      </c>
      <c r="G30" s="23" t="n">
        <f aca="false">[19]output_table!h25/100</f>
        <v>-0.246713297810993</v>
      </c>
    </row>
    <row r="31" customFormat="false" ht="15.75" hidden="false" customHeight="true" outlineLevel="0" collapsed="false">
      <c r="A31" s="24" t="s">
        <v>115</v>
      </c>
      <c r="B31" s="25" t="n">
        <f aca="false">[18]output_table!f26/100</f>
        <v>-0.0117552108666758</v>
      </c>
      <c r="C31" s="26" t="n">
        <f aca="false">[18]output_table!g26/100</f>
        <v>0.17795681256227</v>
      </c>
      <c r="D31" s="27" t="n">
        <f aca="false">[18]output_table!h26/100</f>
        <v>-0.189712023428946</v>
      </c>
      <c r="E31" s="25" t="n">
        <f aca="false">[19]output_table!f26/100</f>
        <v>0.00437861192894168</v>
      </c>
      <c r="F31" s="26" t="n">
        <f aca="false">[19]output_table!g26/100</f>
        <v>0.0392232174977365</v>
      </c>
      <c r="G31" s="27" t="n">
        <f aca="false">[19]output_table!h26/100</f>
        <v>-0.0348446055687948</v>
      </c>
    </row>
    <row r="32" customFormat="false" ht="12.8" hidden="false" customHeight="false" outlineLevel="0" collapsed="false">
      <c r="A32" s="10" t="s">
        <v>116</v>
      </c>
      <c r="B32" s="28" t="n">
        <f aca="false">AVERAGE(B7:B31)</f>
        <v>-0.526411415558696</v>
      </c>
      <c r="C32" s="28" t="n">
        <f aca="false">AVERAGE(C7:C31)</f>
        <v>-0.614954958145329</v>
      </c>
      <c r="D32" s="28" t="n">
        <f aca="false">AVERAGE(D7:D31)</f>
        <v>0.0885435425866334</v>
      </c>
      <c r="E32" s="28" t="n">
        <f aca="false">AVERAGE(E7:E31)</f>
        <v>-0.225433964564088</v>
      </c>
      <c r="F32" s="28" t="n">
        <f aca="false">AVERAGE(F7:F31)</f>
        <v>-0.212099025199309</v>
      </c>
      <c r="G32" s="28" t="n">
        <f aca="false">AVERAGE(G7:G31)</f>
        <v>-0.0133349393647785</v>
      </c>
    </row>
    <row r="33" customFormat="false" ht="12.8" hidden="false" customHeight="false" outlineLevel="0" collapsed="false"/>
    <row r="34" customFormat="false" ht="25.1" hidden="false" customHeight="true" outlineLevel="0" collapsed="false">
      <c r="A34" s="29" t="s">
        <v>117</v>
      </c>
      <c r="B34" s="29"/>
      <c r="C34" s="29"/>
      <c r="D34" s="29"/>
      <c r="E34" s="29"/>
      <c r="F34" s="29"/>
      <c r="G34" s="29"/>
    </row>
  </sheetData>
  <mergeCells count="3">
    <mergeCell ref="B5:D5"/>
    <mergeCell ref="E5:G5"/>
    <mergeCell ref="A34:G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D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51</v>
      </c>
    </row>
    <row r="3" customFormat="false" ht="15.75" hidden="false" customHeight="true" outlineLevel="0" collapsed="false">
      <c r="A3" s="10" t="str">
        <f aca="false">CONCATENATE("Title: Changes in average volatility due to measured changes in trade barriers, baseline calibration (",_xlfn.UNICHAR(952), " = 4) without input-output linkages.")</f>
        <v>Title: Changes in average volatility due to measured changes in trade barriers, baseline calibration (θ = 4) without input-output linkages.</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[20]output_table!f2/100</f>
        <v>0.0171733170200066</v>
      </c>
      <c r="C6" s="18" t="n">
        <f aca="false">[20]output_table!g2/100</f>
        <v>-0.00316481324847722</v>
      </c>
      <c r="D6" s="19" t="n">
        <f aca="false">[20]output_table!h2/100</f>
        <v>0.0203381302684838</v>
      </c>
    </row>
    <row r="7" customFormat="false" ht="15.75" hidden="false" customHeight="true" outlineLevel="0" collapsed="false">
      <c r="A7" s="20" t="s">
        <v>92</v>
      </c>
      <c r="B7" s="21" t="n">
        <f aca="false">[20]output_table!f3/100</f>
        <v>-0.03811201726764</v>
      </c>
      <c r="C7" s="22" t="n">
        <f aca="false">[20]output_table!g3/100</f>
        <v>-0.0917105508244128</v>
      </c>
      <c r="D7" s="23" t="n">
        <f aca="false">[20]output_table!h3/100</f>
        <v>0.0535985335567728</v>
      </c>
    </row>
    <row r="8" customFormat="false" ht="15.75" hidden="false" customHeight="true" outlineLevel="0" collapsed="false">
      <c r="A8" s="20" t="s">
        <v>93</v>
      </c>
      <c r="B8" s="21" t="n">
        <f aca="false">[20]output_table!f4/100</f>
        <v>-0.106208555204002</v>
      </c>
      <c r="C8" s="22" t="n">
        <f aca="false">[20]output_table!g4/100</f>
        <v>-0.341773603300516</v>
      </c>
      <c r="D8" s="23" t="n">
        <f aca="false">[20]output_table!h4/100</f>
        <v>0.235565048096514</v>
      </c>
    </row>
    <row r="9" customFormat="false" ht="15.75" hidden="false" customHeight="true" outlineLevel="0" collapsed="false">
      <c r="A9" s="20" t="s">
        <v>94</v>
      </c>
      <c r="B9" s="21" t="n">
        <f aca="false">[20]output_table!f5/100</f>
        <v>-0.0796398178567803</v>
      </c>
      <c r="C9" s="22" t="n">
        <f aca="false">[20]output_table!g5/100</f>
        <v>-0.0956037908708673</v>
      </c>
      <c r="D9" s="23" t="n">
        <f aca="false">[20]output_table!h5/100</f>
        <v>0.0159639730140869</v>
      </c>
    </row>
    <row r="10" customFormat="false" ht="15.75" hidden="false" customHeight="true" outlineLevel="0" collapsed="false">
      <c r="A10" s="20" t="s">
        <v>95</v>
      </c>
      <c r="B10" s="21" t="n">
        <f aca="false">[20]output_table!f6/100</f>
        <v>0.0084305877277066</v>
      </c>
      <c r="C10" s="22" t="n">
        <f aca="false">[20]output_table!g6/100</f>
        <v>0.00242848321938052</v>
      </c>
      <c r="D10" s="23" t="n">
        <f aca="false">[20]output_table!h6/100</f>
        <v>0.00600210450832608</v>
      </c>
    </row>
    <row r="11" customFormat="false" ht="15.75" hidden="false" customHeight="true" outlineLevel="0" collapsed="false">
      <c r="A11" s="20" t="s">
        <v>96</v>
      </c>
      <c r="B11" s="21" t="n">
        <f aca="false">[20]output_table!f7/100</f>
        <v>-0.0513418517459719</v>
      </c>
      <c r="C11" s="22" t="n">
        <f aca="false">[20]output_table!g7/100</f>
        <v>-0.0520344913675101</v>
      </c>
      <c r="D11" s="23" t="n">
        <f aca="false">[20]output_table!h7/100</f>
        <v>0.000692639621538276</v>
      </c>
    </row>
    <row r="12" customFormat="false" ht="15.75" hidden="false" customHeight="true" outlineLevel="0" collapsed="false">
      <c r="A12" s="20" t="s">
        <v>97</v>
      </c>
      <c r="B12" s="21" t="n">
        <f aca="false">[20]output_table!f8/100</f>
        <v>-0.119667287487995</v>
      </c>
      <c r="C12" s="22" t="n">
        <f aca="false">[20]output_table!g8/100</f>
        <v>-0.104707824217086</v>
      </c>
      <c r="D12" s="23" t="n">
        <f aca="false">[20]output_table!h8/100</f>
        <v>-0.0149594632709089</v>
      </c>
    </row>
    <row r="13" customFormat="false" ht="15.75" hidden="false" customHeight="true" outlineLevel="0" collapsed="false">
      <c r="A13" s="20" t="s">
        <v>98</v>
      </c>
      <c r="B13" s="21" t="n">
        <f aca="false">[20]output_table!f9/100</f>
        <v>-0.0313088170251485</v>
      </c>
      <c r="C13" s="22" t="n">
        <f aca="false">[20]output_table!g9/100</f>
        <v>-0.107178497673489</v>
      </c>
      <c r="D13" s="23" t="n">
        <f aca="false">[20]output_table!h9/100</f>
        <v>0.0758696806483407</v>
      </c>
    </row>
    <row r="14" customFormat="false" ht="15.75" hidden="false" customHeight="true" outlineLevel="0" collapsed="false">
      <c r="A14" s="20" t="s">
        <v>99</v>
      </c>
      <c r="B14" s="21" t="n">
        <f aca="false">[20]output_table!f10/100</f>
        <v>0.00635331066913522</v>
      </c>
      <c r="C14" s="22" t="n">
        <f aca="false">[20]output_table!g10/100</f>
        <v>0.000718107311003328</v>
      </c>
      <c r="D14" s="23" t="n">
        <f aca="false">[20]output_table!h10/100</f>
        <v>0.00563520335813189</v>
      </c>
    </row>
    <row r="15" customFormat="false" ht="15.75" hidden="false" customHeight="true" outlineLevel="0" collapsed="false">
      <c r="A15" s="20" t="s">
        <v>100</v>
      </c>
      <c r="B15" s="21" t="n">
        <f aca="false">[20]output_table!f11/100</f>
        <v>-0.0038909365338811</v>
      </c>
      <c r="C15" s="22" t="n">
        <f aca="false">[20]output_table!g11/100</f>
        <v>-0.010496032918241</v>
      </c>
      <c r="D15" s="23" t="n">
        <f aca="false">[20]output_table!h11/100</f>
        <v>0.00660509638435986</v>
      </c>
    </row>
    <row r="16" customFormat="false" ht="15.75" hidden="false" customHeight="true" outlineLevel="0" collapsed="false">
      <c r="A16" s="20" t="s">
        <v>101</v>
      </c>
      <c r="B16" s="21" t="n">
        <f aca="false">[20]output_table!f12/100</f>
        <v>0.039334362967529</v>
      </c>
      <c r="C16" s="22" t="n">
        <f aca="false">[20]output_table!g12/100</f>
        <v>-0.00291771675960291</v>
      </c>
      <c r="D16" s="23" t="n">
        <f aca="false">[20]output_table!h12/100</f>
        <v>0.042252079727132</v>
      </c>
    </row>
    <row r="17" customFormat="false" ht="15.75" hidden="false" customHeight="true" outlineLevel="0" collapsed="false">
      <c r="A17" s="20" t="s">
        <v>102</v>
      </c>
      <c r="B17" s="21" t="n">
        <f aca="false">[20]output_table!f13/100</f>
        <v>0.00839604642091084</v>
      </c>
      <c r="C17" s="22" t="n">
        <f aca="false">[20]output_table!g13/100</f>
        <v>1.68935392510633E-006</v>
      </c>
      <c r="D17" s="23" t="n">
        <f aca="false">[20]output_table!h13/100</f>
        <v>0.00839435706698573</v>
      </c>
    </row>
    <row r="18" customFormat="false" ht="15.75" hidden="false" customHeight="true" outlineLevel="0" collapsed="false">
      <c r="A18" s="20" t="s">
        <v>103</v>
      </c>
      <c r="B18" s="21" t="n">
        <f aca="false">[20]output_table!f14/100</f>
        <v>-0.136883714073982</v>
      </c>
      <c r="C18" s="22" t="n">
        <f aca="false">[20]output_table!g14/100</f>
        <v>-0.131740126998184</v>
      </c>
      <c r="D18" s="23" t="n">
        <f aca="false">[20]output_table!h14/100</f>
        <v>-0.0051435870757986</v>
      </c>
    </row>
    <row r="19" customFormat="false" ht="15.75" hidden="false" customHeight="true" outlineLevel="0" collapsed="false">
      <c r="A19" s="20" t="s">
        <v>104</v>
      </c>
      <c r="B19" s="21" t="n">
        <f aca="false">[20]output_table!f15/100</f>
        <v>0.00325968119240197</v>
      </c>
      <c r="C19" s="22" t="n">
        <f aca="false">[20]output_table!g15/100</f>
        <v>-0.00328152435850879</v>
      </c>
      <c r="D19" s="23" t="n">
        <f aca="false">[20]output_table!h15/100</f>
        <v>0.00654120555091076</v>
      </c>
    </row>
    <row r="20" customFormat="false" ht="15.75" hidden="false" customHeight="true" outlineLevel="0" collapsed="false">
      <c r="A20" s="20" t="s">
        <v>105</v>
      </c>
      <c r="B20" s="21" t="n">
        <f aca="false">[20]output_table!f16/100</f>
        <v>0.0124155168393402</v>
      </c>
      <c r="C20" s="22" t="n">
        <f aca="false">[20]output_table!g16/100</f>
        <v>0.000525160870830255</v>
      </c>
      <c r="D20" s="23" t="n">
        <f aca="false">[20]output_table!h16/100</f>
        <v>0.01189035596851</v>
      </c>
    </row>
    <row r="21" customFormat="false" ht="15.75" hidden="false" customHeight="true" outlineLevel="0" collapsed="false">
      <c r="A21" s="20" t="s">
        <v>106</v>
      </c>
      <c r="B21" s="21" t="n">
        <f aca="false">[20]output_table!f17/100</f>
        <v>-0.211043125163187</v>
      </c>
      <c r="C21" s="22" t="n">
        <f aca="false">[20]output_table!g17/100</f>
        <v>-0.369113474129628</v>
      </c>
      <c r="D21" s="23" t="n">
        <f aca="false">[20]output_table!h17/100</f>
        <v>0.158070348966441</v>
      </c>
    </row>
    <row r="22" customFormat="false" ht="15.75" hidden="false" customHeight="true" outlineLevel="0" collapsed="false">
      <c r="A22" s="20" t="s">
        <v>107</v>
      </c>
      <c r="B22" s="21" t="n">
        <f aca="false">[20]output_table!f18/100</f>
        <v>-0.047847557478251</v>
      </c>
      <c r="C22" s="22" t="n">
        <f aca="false">[20]output_table!g18/100</f>
        <v>-0.127095892293388</v>
      </c>
      <c r="D22" s="23" t="n">
        <f aca="false">[20]output_table!h18/100</f>
        <v>0.0792483348151372</v>
      </c>
    </row>
    <row r="23" customFormat="false" ht="15.75" hidden="false" customHeight="true" outlineLevel="0" collapsed="false">
      <c r="A23" s="20" t="s">
        <v>108</v>
      </c>
      <c r="B23" s="21" t="n">
        <f aca="false">[20]output_table!f19/100</f>
        <v>-0.0704635294258179</v>
      </c>
      <c r="C23" s="22" t="n">
        <f aca="false">[20]output_table!g19/100</f>
        <v>-0.0913963109681612</v>
      </c>
      <c r="D23" s="23" t="n">
        <f aca="false">[20]output_table!h19/100</f>
        <v>0.0209327815423433</v>
      </c>
    </row>
    <row r="24" customFormat="false" ht="15.75" hidden="false" customHeight="true" outlineLevel="0" collapsed="false">
      <c r="A24" s="20" t="s">
        <v>109</v>
      </c>
      <c r="B24" s="21" t="n">
        <f aca="false">[20]output_table!f20/100</f>
        <v>0.0249313115976838</v>
      </c>
      <c r="C24" s="22" t="n">
        <f aca="false">[20]output_table!g20/100</f>
        <v>-0.0938287492871244</v>
      </c>
      <c r="D24" s="23" t="n">
        <f aca="false">[20]output_table!h20/100</f>
        <v>0.118760060884808</v>
      </c>
    </row>
    <row r="25" customFormat="false" ht="15.75" hidden="false" customHeight="true" outlineLevel="0" collapsed="false">
      <c r="A25" s="20" t="s">
        <v>110</v>
      </c>
      <c r="B25" s="21" t="n">
        <f aca="false">[20]output_table!f21/100</f>
        <v>0.00224070108171718</v>
      </c>
      <c r="C25" s="22" t="n">
        <f aca="false">[20]output_table!g21/100</f>
        <v>-0.00309614693762422</v>
      </c>
      <c r="D25" s="23" t="n">
        <f aca="false">[20]output_table!h21/100</f>
        <v>0.00533684801934141</v>
      </c>
    </row>
    <row r="26" customFormat="false" ht="15.75" hidden="false" customHeight="true" outlineLevel="0" collapsed="false">
      <c r="A26" s="20" t="s">
        <v>111</v>
      </c>
      <c r="B26" s="21" t="n">
        <f aca="false">[20]output_table!f22/100</f>
        <v>-0.0232394302138938</v>
      </c>
      <c r="C26" s="22" t="n">
        <f aca="false">[20]output_table!g22/100</f>
        <v>-0.0183858750280081</v>
      </c>
      <c r="D26" s="23" t="n">
        <f aca="false">[20]output_table!h22/100</f>
        <v>-0.00485355518588569</v>
      </c>
    </row>
    <row r="27" customFormat="false" ht="15.75" hidden="false" customHeight="true" outlineLevel="0" collapsed="false">
      <c r="A27" s="20" t="s">
        <v>112</v>
      </c>
      <c r="B27" s="21" t="n">
        <f aca="false">[20]output_table!f23/100</f>
        <v>-0.061076640400111</v>
      </c>
      <c r="C27" s="22" t="n">
        <f aca="false">[20]output_table!g23/100</f>
        <v>-0.0324732459558318</v>
      </c>
      <c r="D27" s="23" t="n">
        <f aca="false">[20]output_table!h23/100</f>
        <v>-0.0286033944442792</v>
      </c>
    </row>
    <row r="28" customFormat="false" ht="15.75" hidden="false" customHeight="true" outlineLevel="0" collapsed="false">
      <c r="A28" s="20" t="s">
        <v>113</v>
      </c>
      <c r="B28" s="21" t="n">
        <f aca="false">[20]output_table!f24/100</f>
        <v>0.00388630733752689</v>
      </c>
      <c r="C28" s="22" t="n">
        <f aca="false">[20]output_table!g24/100</f>
        <v>-0.0444118846054129</v>
      </c>
      <c r="D28" s="23" t="n">
        <f aca="false">[20]output_table!h24/100</f>
        <v>0.0482981919429398</v>
      </c>
    </row>
    <row r="29" customFormat="false" ht="15.75" hidden="false" customHeight="true" outlineLevel="0" collapsed="false">
      <c r="A29" s="20" t="s">
        <v>114</v>
      </c>
      <c r="B29" s="21" t="n">
        <f aca="false">[20]output_table!f25/100</f>
        <v>-0.0177962541884038</v>
      </c>
      <c r="C29" s="22" t="n">
        <f aca="false">[20]output_table!g25/100</f>
        <v>-0.0260381343923937</v>
      </c>
      <c r="D29" s="23" t="n">
        <f aca="false">[20]output_table!h25/100</f>
        <v>0.00824188020398989</v>
      </c>
    </row>
    <row r="30" customFormat="false" ht="15.75" hidden="false" customHeight="true" outlineLevel="0" collapsed="false">
      <c r="A30" s="24" t="s">
        <v>115</v>
      </c>
      <c r="B30" s="25" t="n">
        <f aca="false">[20]output_table!f26/100</f>
        <v>0.0035216979484502</v>
      </c>
      <c r="C30" s="26" t="n">
        <f aca="false">[20]output_table!g26/100</f>
        <v>0.001172941236904</v>
      </c>
      <c r="D30" s="27" t="n">
        <f aca="false">[20]output_table!h26/100</f>
        <v>0.0023487567115462</v>
      </c>
    </row>
    <row r="31" customFormat="false" ht="12.8" hidden="false" customHeight="false" outlineLevel="0" collapsed="false">
      <c r="A31" s="10" t="s">
        <v>116</v>
      </c>
      <c r="B31" s="28" t="n">
        <f aca="false">AVERAGE(B6:B30)</f>
        <v>-0.0347430677305063</v>
      </c>
      <c r="C31" s="28" t="n">
        <f aca="false">AVERAGE(C6:C30)</f>
        <v>-0.069824092165697</v>
      </c>
      <c r="D31" s="28" t="n">
        <f aca="false">AVERAGE(D6:D30)</f>
        <v>0.0350810244351907</v>
      </c>
    </row>
    <row r="32" customFormat="false" ht="12.8" hidden="false" customHeight="false" outlineLevel="0" collapsed="false"/>
    <row r="33" customFormat="false" ht="36.8" hidden="false" customHeight="true" outlineLevel="0" collapsed="false">
      <c r="A33" s="29" t="s">
        <v>117</v>
      </c>
      <c r="B33" s="29"/>
      <c r="C33" s="29"/>
      <c r="D33" s="29"/>
    </row>
  </sheetData>
  <mergeCells count="1">
    <mergeCell ref="A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J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75" zeroHeight="false" outlineLevelRow="0" outlineLevelCol="0"/>
  <cols>
    <col collapsed="false" customWidth="true" hidden="false" outlineLevel="0" max="1" min="1" style="10" width="22.86"/>
    <col collapsed="false" customWidth="true" hidden="false" outlineLevel="0" max="10" min="2" style="10" width="20.71"/>
    <col collapsed="false" customWidth="true" hidden="false" outlineLevel="0" max="1025" min="11" style="10" width="14.43"/>
  </cols>
  <sheetData>
    <row r="1" customFormat="false" ht="15.75" hidden="false" customHeight="true" outlineLevel="0" collapsed="false">
      <c r="A1" s="10" t="s">
        <v>55</v>
      </c>
    </row>
    <row r="3" customFormat="false" ht="15.75" hidden="false" customHeight="true" outlineLevel="0" collapsed="false">
      <c r="A3" s="10" t="str">
        <f aca="false">CONCATENATE("Title: Changes in average volatility due to measured changes in trade barriers, baseline calibration (",_xlfn.UNICHAR(952), " = 4) with ex post sectoral reallocation costs")</f>
        <v>Title: Changes in average volatility due to measured changes in trade barriers, baseline calibration (θ = 4) with ex post sectoral reallocation costs</v>
      </c>
    </row>
    <row r="5" customFormat="false" ht="15.75" hidden="false" customHeight="true" outlineLevel="0" collapsed="false">
      <c r="B5" s="30" t="str">
        <f aca="false">CONCATENATE(_xlfn.UNICHAR(961)," = 0.0005")</f>
        <v>ρ = 0.0005</v>
      </c>
      <c r="C5" s="30"/>
      <c r="D5" s="30"/>
      <c r="E5" s="30" t="str">
        <f aca="false">CONCATENATE(_xlfn.UNICHAR(961)," = 0.001")</f>
        <v>ρ = 0.001</v>
      </c>
      <c r="F5" s="30"/>
      <c r="G5" s="30"/>
      <c r="H5" s="30" t="str">
        <f aca="false">CONCATENATE(_xlfn.UNICHAR(961)," = 0.002")</f>
        <v>ρ = 0.002</v>
      </c>
      <c r="I5" s="30"/>
      <c r="J5" s="30"/>
    </row>
    <row r="6" customFormat="false" ht="41.25" hidden="false" customHeight="true" outlineLevel="0" collapsed="false">
      <c r="A6" s="12"/>
      <c r="B6" s="13" t="s">
        <v>88</v>
      </c>
      <c r="C6" s="14" t="s">
        <v>89</v>
      </c>
      <c r="D6" s="15" t="s">
        <v>90</v>
      </c>
      <c r="E6" s="13" t="s">
        <v>88</v>
      </c>
      <c r="F6" s="14" t="s">
        <v>89</v>
      </c>
      <c r="G6" s="15" t="s">
        <v>90</v>
      </c>
      <c r="H6" s="13" t="s">
        <v>88</v>
      </c>
      <c r="I6" s="14" t="s">
        <v>89</v>
      </c>
      <c r="J6" s="15" t="s">
        <v>90</v>
      </c>
    </row>
    <row r="7" customFormat="false" ht="15.75" hidden="false" customHeight="true" outlineLevel="0" collapsed="false">
      <c r="A7" s="16" t="s">
        <v>91</v>
      </c>
      <c r="B7" s="17" t="n">
        <f aca="false">[21]output_table!f2/100</f>
        <v>-0.025552001380833</v>
      </c>
      <c r="C7" s="18" t="n">
        <f aca="false">[21]output_table!g2/100</f>
        <v>-0.00577986459155564</v>
      </c>
      <c r="D7" s="19" t="n">
        <f aca="false">[21]output_table!h2/100</f>
        <v>-0.0197721367892773</v>
      </c>
      <c r="E7" s="17" t="n">
        <f aca="false">[22]output_table!f2/100</f>
        <v>-0.0266796931843565</v>
      </c>
      <c r="F7" s="18" t="n">
        <f aca="false">[22]output_table!g2/100</f>
        <v>-0.0061144094824339</v>
      </c>
      <c r="G7" s="19" t="n">
        <f aca="false">[22]output_table!h2/100</f>
        <v>-0.0205652837019225</v>
      </c>
      <c r="H7" s="17" t="n">
        <f aca="false">[23]output_table!f2/100</f>
        <v>-0.0289341326976549</v>
      </c>
      <c r="I7" s="18" t="n">
        <f aca="false">[23]output_table!g2/100</f>
        <v>-0.00711778118024133</v>
      </c>
      <c r="J7" s="19" t="n">
        <f aca="false">[23]output_table!h2/100</f>
        <v>-0.0218163515174136</v>
      </c>
    </row>
    <row r="8" customFormat="false" ht="15.75" hidden="false" customHeight="true" outlineLevel="0" collapsed="false">
      <c r="A8" s="20" t="s">
        <v>92</v>
      </c>
      <c r="B8" s="21" t="n">
        <f aca="false">[21]output_table!f3/100</f>
        <v>-0.423322726561705</v>
      </c>
      <c r="C8" s="22" t="n">
        <f aca="false">[21]output_table!g3/100</f>
        <v>-1.18593872095676</v>
      </c>
      <c r="D8" s="23" t="n">
        <f aca="false">[21]output_table!h3/100</f>
        <v>0.762615994395055</v>
      </c>
      <c r="E8" s="21" t="n">
        <f aca="false">[22]output_table!f3/100</f>
        <v>-0.423629574590959</v>
      </c>
      <c r="F8" s="22" t="n">
        <f aca="false">[22]output_table!g3/100</f>
        <v>-1.18328123849958</v>
      </c>
      <c r="G8" s="23" t="n">
        <f aca="false">[22]output_table!h3/100</f>
        <v>0.759651663908626</v>
      </c>
      <c r="H8" s="21" t="n">
        <f aca="false">[23]output_table!f3/100</f>
        <v>-0.418988774416205</v>
      </c>
      <c r="I8" s="22" t="n">
        <f aca="false">[23]output_table!g3/100</f>
        <v>-1.19236454127509</v>
      </c>
      <c r="J8" s="23" t="n">
        <f aca="false">[23]output_table!h3/100</f>
        <v>0.773375766858883</v>
      </c>
    </row>
    <row r="9" customFormat="false" ht="15.75" hidden="false" customHeight="true" outlineLevel="0" collapsed="false">
      <c r="A9" s="20" t="s">
        <v>93</v>
      </c>
      <c r="B9" s="21" t="n">
        <f aca="false">[21]output_table!f4/100</f>
        <v>-0.660721614182489</v>
      </c>
      <c r="C9" s="22" t="n">
        <f aca="false">[21]output_table!g4/100</f>
        <v>-1.07039705230357</v>
      </c>
      <c r="D9" s="23" t="n">
        <f aca="false">[21]output_table!h4/100</f>
        <v>0.409675438121084</v>
      </c>
      <c r="E9" s="21" t="n">
        <f aca="false">[22]output_table!f4/100</f>
        <v>-0.661302748346941</v>
      </c>
      <c r="F9" s="22" t="n">
        <f aca="false">[22]output_table!g4/100</f>
        <v>-1.07351354140696</v>
      </c>
      <c r="G9" s="23" t="n">
        <f aca="false">[22]output_table!h4/100</f>
        <v>0.412210793060017</v>
      </c>
      <c r="H9" s="21" t="n">
        <f aca="false">[23]output_table!f4/100</f>
        <v>-0.66230965983515</v>
      </c>
      <c r="I9" s="22" t="n">
        <f aca="false">[23]output_table!g4/100</f>
        <v>-1.07947873636971</v>
      </c>
      <c r="J9" s="23" t="n">
        <f aca="false">[23]output_table!h4/100</f>
        <v>0.417169076534563</v>
      </c>
    </row>
    <row r="10" customFormat="false" ht="15.75" hidden="false" customHeight="true" outlineLevel="0" collapsed="false">
      <c r="A10" s="20" t="s">
        <v>94</v>
      </c>
      <c r="B10" s="21" t="n">
        <f aca="false">[21]output_table!f5/100</f>
        <v>-0.730538243118469</v>
      </c>
      <c r="C10" s="22" t="n">
        <f aca="false">[21]output_table!g5/100</f>
        <v>-1.00247297285294</v>
      </c>
      <c r="D10" s="23" t="n">
        <f aca="false">[21]output_table!h5/100</f>
        <v>0.27193472973447</v>
      </c>
      <c r="E10" s="21" t="n">
        <f aca="false">[22]output_table!f5/100</f>
        <v>-0.731839132125132</v>
      </c>
      <c r="F10" s="22" t="n">
        <f aca="false">[22]output_table!g5/100</f>
        <v>-1.00028564093028</v>
      </c>
      <c r="G10" s="23" t="n">
        <f aca="false">[22]output_table!h5/100</f>
        <v>0.268446508805149</v>
      </c>
      <c r="H10" s="21" t="n">
        <f aca="false">[23]output_table!f5/100</f>
        <v>-0.73367520295894</v>
      </c>
      <c r="I10" s="22" t="n">
        <f aca="false">[23]output_table!g5/100</f>
        <v>-0.993360455270193</v>
      </c>
      <c r="J10" s="23" t="n">
        <f aca="false">[23]output_table!h5/100</f>
        <v>0.259685252311253</v>
      </c>
    </row>
    <row r="11" customFormat="false" ht="15.75" hidden="false" customHeight="true" outlineLevel="0" collapsed="false">
      <c r="A11" s="20" t="s">
        <v>95</v>
      </c>
      <c r="B11" s="21" t="n">
        <f aca="false">[21]output_table!f6/100</f>
        <v>0.0135255339468982</v>
      </c>
      <c r="C11" s="22" t="n">
        <f aca="false">[21]output_table!g6/100</f>
        <v>0.00462363401250637</v>
      </c>
      <c r="D11" s="23" t="n">
        <f aca="false">[21]output_table!h6/100</f>
        <v>0.00890189993439181</v>
      </c>
      <c r="E11" s="21" t="n">
        <f aca="false">[22]output_table!f6/100</f>
        <v>0.013771798050067</v>
      </c>
      <c r="F11" s="22" t="n">
        <f aca="false">[22]output_table!g6/100</f>
        <v>0.00461735350361208</v>
      </c>
      <c r="G11" s="23" t="n">
        <f aca="false">[22]output_table!h6/100</f>
        <v>0.00915444454645491</v>
      </c>
      <c r="H11" s="21" t="n">
        <f aca="false">[23]output_table!f6/100</f>
        <v>0.0138367398806146</v>
      </c>
      <c r="I11" s="22" t="n">
        <f aca="false">[23]output_table!g6/100</f>
        <v>0.0046009372282509</v>
      </c>
      <c r="J11" s="23" t="n">
        <f aca="false">[23]output_table!h6/100</f>
        <v>0.00923580265236368</v>
      </c>
    </row>
    <row r="12" customFormat="false" ht="15.75" hidden="false" customHeight="true" outlineLevel="0" collapsed="false">
      <c r="A12" s="20" t="s">
        <v>96</v>
      </c>
      <c r="B12" s="21" t="n">
        <f aca="false">[21]output_table!f7/100</f>
        <v>-0.439714344259867</v>
      </c>
      <c r="C12" s="22" t="n">
        <f aca="false">[21]output_table!g7/100</f>
        <v>-0.612623403774383</v>
      </c>
      <c r="D12" s="23" t="n">
        <f aca="false">[21]output_table!h7/100</f>
        <v>0.172909059514516</v>
      </c>
      <c r="E12" s="21" t="n">
        <f aca="false">[22]output_table!f7/100</f>
        <v>-0.440095238236493</v>
      </c>
      <c r="F12" s="22" t="n">
        <f aca="false">[22]output_table!g7/100</f>
        <v>-0.608026615739014</v>
      </c>
      <c r="G12" s="23" t="n">
        <f aca="false">[22]output_table!h7/100</f>
        <v>0.167931377502521</v>
      </c>
      <c r="H12" s="21" t="n">
        <f aca="false">[23]output_table!f7/100</f>
        <v>-0.440870898401464</v>
      </c>
      <c r="I12" s="22" t="n">
        <f aca="false">[23]output_table!g7/100</f>
        <v>-0.606699925659237</v>
      </c>
      <c r="J12" s="23" t="n">
        <f aca="false">[23]output_table!h7/100</f>
        <v>0.165829027257773</v>
      </c>
    </row>
    <row r="13" customFormat="false" ht="15.75" hidden="false" customHeight="true" outlineLevel="0" collapsed="false">
      <c r="A13" s="20" t="s">
        <v>97</v>
      </c>
      <c r="B13" s="21" t="n">
        <f aca="false">[21]output_table!f8/100</f>
        <v>-0.780313000443816</v>
      </c>
      <c r="C13" s="22" t="n">
        <f aca="false">[21]output_table!g8/100</f>
        <v>-0.407839669737209</v>
      </c>
      <c r="D13" s="23" t="n">
        <f aca="false">[21]output_table!h8/100</f>
        <v>-0.372473330706607</v>
      </c>
      <c r="E13" s="21" t="n">
        <f aca="false">[22]output_table!f8/100</f>
        <v>-0.78137408364807</v>
      </c>
      <c r="F13" s="22" t="n">
        <f aca="false">[22]output_table!g8/100</f>
        <v>-0.409119086406024</v>
      </c>
      <c r="G13" s="23" t="n">
        <f aca="false">[22]output_table!h8/100</f>
        <v>-0.372254997242046</v>
      </c>
      <c r="H13" s="21" t="n">
        <f aca="false">[23]output_table!f8/100</f>
        <v>-0.782930140840132</v>
      </c>
      <c r="I13" s="22" t="n">
        <f aca="false">[23]output_table!g8/100</f>
        <v>-0.411907579835277</v>
      </c>
      <c r="J13" s="23" t="n">
        <f aca="false">[23]output_table!h8/100</f>
        <v>-0.371022561004855</v>
      </c>
    </row>
    <row r="14" customFormat="false" ht="15.75" hidden="false" customHeight="true" outlineLevel="0" collapsed="false">
      <c r="A14" s="20" t="s">
        <v>98</v>
      </c>
      <c r="B14" s="21" t="n">
        <f aca="false">[21]output_table!f9/100</f>
        <v>-0.37970001814326</v>
      </c>
      <c r="C14" s="22" t="n">
        <f aca="false">[21]output_table!g9/100</f>
        <v>-0.662810447292442</v>
      </c>
      <c r="D14" s="23" t="n">
        <f aca="false">[21]output_table!h9/100</f>
        <v>0.283110429149182</v>
      </c>
      <c r="E14" s="21" t="n">
        <f aca="false">[22]output_table!f9/100</f>
        <v>-0.380258357325712</v>
      </c>
      <c r="F14" s="22" t="n">
        <f aca="false">[22]output_table!g9/100</f>
        <v>-0.665569562441252</v>
      </c>
      <c r="G14" s="23" t="n">
        <f aca="false">[22]output_table!h9/100</f>
        <v>0.28531120511554</v>
      </c>
      <c r="H14" s="21" t="n">
        <f aca="false">[23]output_table!f9/100</f>
        <v>-0.381329195249578</v>
      </c>
      <c r="I14" s="22" t="n">
        <f aca="false">[23]output_table!g9/100</f>
        <v>-0.671639228775687</v>
      </c>
      <c r="J14" s="23" t="n">
        <f aca="false">[23]output_table!h9/100</f>
        <v>0.290310033526109</v>
      </c>
    </row>
    <row r="15" customFormat="false" ht="15.75" hidden="false" customHeight="true" outlineLevel="0" collapsed="false">
      <c r="A15" s="20" t="s">
        <v>99</v>
      </c>
      <c r="B15" s="21" t="n">
        <f aca="false">[21]output_table!f10/100</f>
        <v>-0.252255465433841</v>
      </c>
      <c r="C15" s="22" t="n">
        <f aca="false">[21]output_table!g10/100</f>
        <v>0.276354755409549</v>
      </c>
      <c r="D15" s="23" t="n">
        <f aca="false">[21]output_table!h10/100</f>
        <v>-0.52861022084339</v>
      </c>
      <c r="E15" s="21" t="n">
        <f aca="false">[22]output_table!f10/100</f>
        <v>-0.251590361285561</v>
      </c>
      <c r="F15" s="22" t="n">
        <f aca="false">[22]output_table!g10/100</f>
        <v>0.279607171319945</v>
      </c>
      <c r="G15" s="23" t="n">
        <f aca="false">[22]output_table!h10/100</f>
        <v>-0.531197532605506</v>
      </c>
      <c r="H15" s="21" t="n">
        <f aca="false">[23]output_table!f10/100</f>
        <v>-0.250841145098243</v>
      </c>
      <c r="I15" s="22" t="n">
        <f aca="false">[23]output_table!g10/100</f>
        <v>0.284011882824115</v>
      </c>
      <c r="J15" s="23" t="n">
        <f aca="false">[23]output_table!h10/100</f>
        <v>-0.534853027922359</v>
      </c>
    </row>
    <row r="16" customFormat="false" ht="15.75" hidden="false" customHeight="true" outlineLevel="0" collapsed="false">
      <c r="A16" s="20" t="s">
        <v>100</v>
      </c>
      <c r="B16" s="21" t="n">
        <f aca="false">[21]output_table!f11/100</f>
        <v>-0.535701667842644</v>
      </c>
      <c r="C16" s="22" t="n">
        <f aca="false">[21]output_table!g11/100</f>
        <v>-0.490406779266455</v>
      </c>
      <c r="D16" s="23" t="n">
        <f aca="false">[21]output_table!h11/100</f>
        <v>-0.0452948885761888</v>
      </c>
      <c r="E16" s="21" t="n">
        <f aca="false">[22]output_table!f11/100</f>
        <v>-0.537817977989666</v>
      </c>
      <c r="F16" s="22" t="n">
        <f aca="false">[22]output_table!g11/100</f>
        <v>-0.491325183079783</v>
      </c>
      <c r="G16" s="23" t="n">
        <f aca="false">[22]output_table!h11/100</f>
        <v>-0.0464927949098829</v>
      </c>
      <c r="H16" s="21" t="n">
        <f aca="false">[23]output_table!f11/100</f>
        <v>-0.541282273245165</v>
      </c>
      <c r="I16" s="22" t="n">
        <f aca="false">[23]output_table!g11/100</f>
        <v>-0.492812924441901</v>
      </c>
      <c r="J16" s="23" t="n">
        <f aca="false">[23]output_table!h11/100</f>
        <v>-0.0484693488032648</v>
      </c>
    </row>
    <row r="17" customFormat="false" ht="15.75" hidden="false" customHeight="true" outlineLevel="0" collapsed="false">
      <c r="A17" s="20" t="s">
        <v>101</v>
      </c>
      <c r="B17" s="21" t="n">
        <f aca="false">[21]output_table!f12/100</f>
        <v>-0.213434550111925</v>
      </c>
      <c r="C17" s="22" t="n">
        <f aca="false">[21]output_table!g12/100</f>
        <v>0.0799203007605658</v>
      </c>
      <c r="D17" s="23" t="n">
        <f aca="false">[21]output_table!h12/100</f>
        <v>-0.293354850872491</v>
      </c>
      <c r="E17" s="21" t="n">
        <f aca="false">[22]output_table!f12/100</f>
        <v>-0.20414643219966</v>
      </c>
      <c r="F17" s="22" t="n">
        <f aca="false">[22]output_table!g12/100</f>
        <v>0.0843740837265675</v>
      </c>
      <c r="G17" s="23" t="n">
        <f aca="false">[22]output_table!h12/100</f>
        <v>-0.288520515926227</v>
      </c>
      <c r="H17" s="21" t="n">
        <f aca="false">[23]output_table!f12/100</f>
        <v>-0.195320075227053</v>
      </c>
      <c r="I17" s="22" t="n">
        <f aca="false">[23]output_table!g12/100</f>
        <v>0.0864541593663815</v>
      </c>
      <c r="J17" s="23" t="n">
        <f aca="false">[23]output_table!h12/100</f>
        <v>-0.281774234593434</v>
      </c>
    </row>
    <row r="18" customFormat="false" ht="15.75" hidden="false" customHeight="true" outlineLevel="0" collapsed="false">
      <c r="A18" s="20" t="s">
        <v>102</v>
      </c>
      <c r="B18" s="21" t="n">
        <f aca="false">[21]output_table!f13/100</f>
        <v>-0.160745719211399</v>
      </c>
      <c r="C18" s="22" t="n">
        <f aca="false">[21]output_table!g13/100</f>
        <v>-0.0608383884646459</v>
      </c>
      <c r="D18" s="23" t="n">
        <f aca="false">[21]output_table!h13/100</f>
        <v>-0.0999073307467527</v>
      </c>
      <c r="E18" s="21" t="n">
        <f aca="false">[22]output_table!f13/100</f>
        <v>-0.160271986068322</v>
      </c>
      <c r="F18" s="22" t="n">
        <f aca="false">[22]output_table!g13/100</f>
        <v>-0.0609851311585413</v>
      </c>
      <c r="G18" s="23" t="n">
        <f aca="false">[22]output_table!h13/100</f>
        <v>-0.0992868549097809</v>
      </c>
      <c r="H18" s="21" t="n">
        <f aca="false">[23]output_table!f13/100</f>
        <v>-0.159580868234849</v>
      </c>
      <c r="I18" s="22" t="n">
        <f aca="false">[23]output_table!g13/100</f>
        <v>-0.0609895636514533</v>
      </c>
      <c r="J18" s="23" t="n">
        <f aca="false">[23]output_table!h13/100</f>
        <v>-0.0985913045833956</v>
      </c>
    </row>
    <row r="19" customFormat="false" ht="15.75" hidden="false" customHeight="true" outlineLevel="0" collapsed="false">
      <c r="A19" s="20" t="s">
        <v>103</v>
      </c>
      <c r="B19" s="21" t="n">
        <f aca="false">[21]output_table!f14/100</f>
        <v>-0.589555049068939</v>
      </c>
      <c r="C19" s="22" t="n">
        <f aca="false">[21]output_table!g14/100</f>
        <v>-0.693737135158804</v>
      </c>
      <c r="D19" s="23" t="n">
        <f aca="false">[21]output_table!h14/100</f>
        <v>0.104182086089865</v>
      </c>
      <c r="E19" s="21" t="n">
        <f aca="false">[22]output_table!f14/100</f>
        <v>-0.588349819612927</v>
      </c>
      <c r="F19" s="22" t="n">
        <f aca="false">[22]output_table!g14/100</f>
        <v>-0.698904405704207</v>
      </c>
      <c r="G19" s="23" t="n">
        <f aca="false">[22]output_table!h14/100</f>
        <v>0.110554586091279</v>
      </c>
      <c r="H19" s="21" t="n">
        <f aca="false">[23]output_table!f14/100</f>
        <v>-0.586396824130472</v>
      </c>
      <c r="I19" s="22" t="n">
        <f aca="false">[23]output_table!g14/100</f>
        <v>-0.707144652781309</v>
      </c>
      <c r="J19" s="23" t="n">
        <f aca="false">[23]output_table!h14/100</f>
        <v>0.120747828650838</v>
      </c>
    </row>
    <row r="20" customFormat="false" ht="15.75" hidden="false" customHeight="true" outlineLevel="0" collapsed="false">
      <c r="A20" s="20" t="s">
        <v>104</v>
      </c>
      <c r="B20" s="21" t="n">
        <f aca="false">[21]output_table!f15/100</f>
        <v>-0.273676531286215</v>
      </c>
      <c r="C20" s="22" t="n">
        <f aca="false">[21]output_table!g15/100</f>
        <v>0.231814008507476</v>
      </c>
      <c r="D20" s="23" t="n">
        <f aca="false">[21]output_table!h15/100</f>
        <v>-0.505490539793691</v>
      </c>
      <c r="E20" s="21" t="n">
        <f aca="false">[22]output_table!f15/100</f>
        <v>-0.271906329424986</v>
      </c>
      <c r="F20" s="22" t="n">
        <f aca="false">[22]output_table!g15/100</f>
        <v>0.23826779871052</v>
      </c>
      <c r="G20" s="23" t="n">
        <f aca="false">[22]output_table!h15/100</f>
        <v>-0.510174128135506</v>
      </c>
      <c r="H20" s="21" t="n">
        <f aca="false">[23]output_table!f15/100</f>
        <v>-0.271168634423718</v>
      </c>
      <c r="I20" s="22" t="n">
        <f aca="false">[23]output_table!g15/100</f>
        <v>0.244700836737262</v>
      </c>
      <c r="J20" s="23" t="n">
        <f aca="false">[23]output_table!h15/100</f>
        <v>-0.51586947116098</v>
      </c>
    </row>
    <row r="21" customFormat="false" ht="15.75" hidden="false" customHeight="true" outlineLevel="0" collapsed="false">
      <c r="A21" s="20" t="s">
        <v>105</v>
      </c>
      <c r="B21" s="21" t="n">
        <f aca="false">[21]output_table!f16/100</f>
        <v>-0.0238067998254113</v>
      </c>
      <c r="C21" s="22" t="n">
        <f aca="false">[21]output_table!g16/100</f>
        <v>0.0798960817550755</v>
      </c>
      <c r="D21" s="23" t="n">
        <f aca="false">[21]output_table!h16/100</f>
        <v>-0.103702881580487</v>
      </c>
      <c r="E21" s="21" t="n">
        <f aca="false">[22]output_table!f16/100</f>
        <v>-0.0236959204737678</v>
      </c>
      <c r="F21" s="22" t="n">
        <f aca="false">[22]output_table!g16/100</f>
        <v>0.0798856305026664</v>
      </c>
      <c r="G21" s="23" t="n">
        <f aca="false">[22]output_table!h16/100</f>
        <v>-0.103581550976434</v>
      </c>
      <c r="H21" s="21" t="n">
        <f aca="false">[23]output_table!f16/100</f>
        <v>-0.0245949777444653</v>
      </c>
      <c r="I21" s="22" t="n">
        <f aca="false">[23]output_table!g16/100</f>
        <v>0.080370253598561</v>
      </c>
      <c r="J21" s="23" t="n">
        <f aca="false">[23]output_table!h16/100</f>
        <v>-0.104965231343026</v>
      </c>
    </row>
    <row r="22" customFormat="false" ht="15.75" hidden="false" customHeight="true" outlineLevel="0" collapsed="false">
      <c r="A22" s="20" t="s">
        <v>106</v>
      </c>
      <c r="B22" s="21" t="n">
        <f aca="false">[21]output_table!f17/100</f>
        <v>-0.574718087284225</v>
      </c>
      <c r="C22" s="22" t="n">
        <f aca="false">[21]output_table!g17/100</f>
        <v>-0.922399959868402</v>
      </c>
      <c r="D22" s="23" t="n">
        <f aca="false">[21]output_table!h17/100</f>
        <v>0.347681872584177</v>
      </c>
      <c r="E22" s="21" t="n">
        <f aca="false">[22]output_table!f17/100</f>
        <v>-0.576189595295001</v>
      </c>
      <c r="F22" s="22" t="n">
        <f aca="false">[22]output_table!g17/100</f>
        <v>-0.916976093204253</v>
      </c>
      <c r="G22" s="23" t="n">
        <f aca="false">[22]output_table!h17/100</f>
        <v>0.340786497909252</v>
      </c>
      <c r="H22" s="21" t="n">
        <f aca="false">[23]output_table!f17/100</f>
        <v>-0.578099220380614</v>
      </c>
      <c r="I22" s="22" t="n">
        <f aca="false">[23]output_table!g17/100</f>
        <v>-0.907875991351932</v>
      </c>
      <c r="J22" s="23" t="n">
        <f aca="false">[23]output_table!h17/100</f>
        <v>0.329776770971319</v>
      </c>
    </row>
    <row r="23" customFormat="false" ht="15.75" hidden="false" customHeight="true" outlineLevel="0" collapsed="false">
      <c r="A23" s="20" t="s">
        <v>107</v>
      </c>
      <c r="B23" s="21" t="n">
        <f aca="false">[21]output_table!f18/100</f>
        <v>-0.731877550459867</v>
      </c>
      <c r="C23" s="22" t="n">
        <f aca="false">[21]output_table!g18/100</f>
        <v>-1.34055286709446</v>
      </c>
      <c r="D23" s="23" t="n">
        <f aca="false">[21]output_table!h18/100</f>
        <v>0.608675316634588</v>
      </c>
      <c r="E23" s="21" t="n">
        <f aca="false">[22]output_table!f18/100</f>
        <v>-0.733596143807629</v>
      </c>
      <c r="F23" s="22" t="n">
        <f aca="false">[22]output_table!g18/100</f>
        <v>-1.34742140023648</v>
      </c>
      <c r="G23" s="23" t="n">
        <f aca="false">[22]output_table!h18/100</f>
        <v>0.613825256428847</v>
      </c>
      <c r="H23" s="21" t="n">
        <f aca="false">[23]output_table!f18/100</f>
        <v>-0.736029512250811</v>
      </c>
      <c r="I23" s="22" t="n">
        <f aca="false">[23]output_table!g18/100</f>
        <v>-1.35947788331968</v>
      </c>
      <c r="J23" s="23" t="n">
        <f aca="false">[23]output_table!h18/100</f>
        <v>0.62344837106887</v>
      </c>
    </row>
    <row r="24" customFormat="false" ht="15.75" hidden="false" customHeight="true" outlineLevel="0" collapsed="false">
      <c r="A24" s="20" t="s">
        <v>108</v>
      </c>
      <c r="B24" s="21" t="n">
        <f aca="false">[21]output_table!f19/100</f>
        <v>-0.330230940947804</v>
      </c>
      <c r="C24" s="22" t="n">
        <f aca="false">[21]output_table!g19/100</f>
        <v>-0.892621756855797</v>
      </c>
      <c r="D24" s="23" t="n">
        <f aca="false">[21]output_table!h19/100</f>
        <v>0.562390815907993</v>
      </c>
      <c r="E24" s="21" t="n">
        <f aca="false">[22]output_table!f19/100</f>
        <v>-0.327771606885922</v>
      </c>
      <c r="F24" s="22" t="n">
        <f aca="false">[22]output_table!g19/100</f>
        <v>-0.892087236513379</v>
      </c>
      <c r="G24" s="23" t="n">
        <f aca="false">[22]output_table!h19/100</f>
        <v>0.564315629627457</v>
      </c>
      <c r="H24" s="21" t="n">
        <f aca="false">[23]output_table!f19/100</f>
        <v>-0.323509608770828</v>
      </c>
      <c r="I24" s="22" t="n">
        <f aca="false">[23]output_table!g19/100</f>
        <v>-0.891915450523876</v>
      </c>
      <c r="J24" s="23" t="n">
        <f aca="false">[23]output_table!h19/100</f>
        <v>0.568405841753048</v>
      </c>
    </row>
    <row r="25" customFormat="false" ht="15.75" hidden="false" customHeight="true" outlineLevel="0" collapsed="false">
      <c r="A25" s="20" t="s">
        <v>109</v>
      </c>
      <c r="B25" s="21" t="n">
        <f aca="false">[21]output_table!f20/100</f>
        <v>-0.0762539677951164</v>
      </c>
      <c r="C25" s="22" t="n">
        <f aca="false">[21]output_table!g20/100</f>
        <v>-0.589563871507255</v>
      </c>
      <c r="D25" s="23" t="n">
        <f aca="false">[21]output_table!h20/100</f>
        <v>0.513309903712138</v>
      </c>
      <c r="E25" s="21" t="n">
        <f aca="false">[22]output_table!f20/100</f>
        <v>-0.0864855681434859</v>
      </c>
      <c r="F25" s="22" t="n">
        <f aca="false">[22]output_table!g20/100</f>
        <v>-0.583372010262255</v>
      </c>
      <c r="G25" s="23" t="n">
        <f aca="false">[22]output_table!h20/100</f>
        <v>0.496886442118769</v>
      </c>
      <c r="H25" s="21" t="n">
        <f aca="false">[23]output_table!f20/100</f>
        <v>-0.0984920481366926</v>
      </c>
      <c r="I25" s="22" t="n">
        <f aca="false">[23]output_table!g20/100</f>
        <v>-0.57469682441449</v>
      </c>
      <c r="J25" s="23" t="n">
        <f aca="false">[23]output_table!h20/100</f>
        <v>0.476204776277797</v>
      </c>
    </row>
    <row r="26" customFormat="false" ht="15.75" hidden="false" customHeight="true" outlineLevel="0" collapsed="false">
      <c r="A26" s="20" t="s">
        <v>110</v>
      </c>
      <c r="B26" s="21" t="n">
        <f aca="false">[21]output_table!f21/100</f>
        <v>0.0106301545352257</v>
      </c>
      <c r="C26" s="22" t="n">
        <f aca="false">[21]output_table!g21/100</f>
        <v>-0.0145281328423382</v>
      </c>
      <c r="D26" s="23" t="n">
        <f aca="false">[21]output_table!h21/100</f>
        <v>0.0251582873775639</v>
      </c>
      <c r="E26" s="21" t="n">
        <f aca="false">[22]output_table!f21/100</f>
        <v>0.0107432419056741</v>
      </c>
      <c r="F26" s="22" t="n">
        <f aca="false">[22]output_table!g21/100</f>
        <v>-0.0144101563222107</v>
      </c>
      <c r="G26" s="23" t="n">
        <f aca="false">[22]output_table!h21/100</f>
        <v>0.0251533982278848</v>
      </c>
      <c r="H26" s="21" t="n">
        <f aca="false">[23]output_table!f21/100</f>
        <v>0.0109700442906916</v>
      </c>
      <c r="I26" s="22" t="n">
        <f aca="false">[23]output_table!g21/100</f>
        <v>-0.0145832120477589</v>
      </c>
      <c r="J26" s="23" t="n">
        <f aca="false">[23]output_table!h21/100</f>
        <v>0.0255532563384503</v>
      </c>
    </row>
    <row r="27" customFormat="false" ht="15.75" hidden="false" customHeight="true" outlineLevel="0" collapsed="false">
      <c r="A27" s="20" t="s">
        <v>111</v>
      </c>
      <c r="B27" s="21" t="n">
        <f aca="false">[21]output_table!f22/100</f>
        <v>-0.013086472455515</v>
      </c>
      <c r="C27" s="22" t="n">
        <f aca="false">[21]output_table!g22/100</f>
        <v>-0.101268754956323</v>
      </c>
      <c r="D27" s="23" t="n">
        <f aca="false">[21]output_table!h22/100</f>
        <v>0.0881822825008079</v>
      </c>
      <c r="E27" s="21" t="n">
        <f aca="false">[22]output_table!f22/100</f>
        <v>-0.014116695618217</v>
      </c>
      <c r="F27" s="22" t="n">
        <f aca="false">[22]output_table!g22/100</f>
        <v>-0.104083586046464</v>
      </c>
      <c r="G27" s="23" t="n">
        <f aca="false">[22]output_table!h22/100</f>
        <v>0.0899668904282466</v>
      </c>
      <c r="H27" s="21" t="n">
        <f aca="false">[23]output_table!f22/100</f>
        <v>-0.016438257304013</v>
      </c>
      <c r="I27" s="22" t="n">
        <f aca="false">[23]output_table!g22/100</f>
        <v>-0.108393338960519</v>
      </c>
      <c r="J27" s="23" t="n">
        <f aca="false">[23]output_table!h22/100</f>
        <v>0.0919550816565064</v>
      </c>
    </row>
    <row r="28" customFormat="false" ht="15.75" hidden="false" customHeight="true" outlineLevel="0" collapsed="false">
      <c r="A28" s="20" t="s">
        <v>112</v>
      </c>
      <c r="B28" s="21" t="n">
        <f aca="false">[21]output_table!f23/100</f>
        <v>-0.803831917051109</v>
      </c>
      <c r="C28" s="22" t="n">
        <f aca="false">[21]output_table!g23/100</f>
        <v>-0.440779988838245</v>
      </c>
      <c r="D28" s="23" t="n">
        <f aca="false">[21]output_table!h23/100</f>
        <v>-0.363051928212864</v>
      </c>
      <c r="E28" s="21" t="n">
        <f aca="false">[22]output_table!f23/100</f>
        <v>-0.803495747189471</v>
      </c>
      <c r="F28" s="22" t="n">
        <f aca="false">[22]output_table!g23/100</f>
        <v>-0.441998044039949</v>
      </c>
      <c r="G28" s="23" t="n">
        <f aca="false">[22]output_table!h23/100</f>
        <v>-0.361497703149523</v>
      </c>
      <c r="H28" s="21" t="n">
        <f aca="false">[23]output_table!f23/100</f>
        <v>-0.803018919032221</v>
      </c>
      <c r="I28" s="22" t="n">
        <f aca="false">[23]output_table!g23/100</f>
        <v>-0.442463820138538</v>
      </c>
      <c r="J28" s="23" t="n">
        <f aca="false">[23]output_table!h23/100</f>
        <v>-0.360555098893683</v>
      </c>
    </row>
    <row r="29" customFormat="false" ht="15.75" hidden="false" customHeight="true" outlineLevel="0" collapsed="false">
      <c r="A29" s="20" t="s">
        <v>113</v>
      </c>
      <c r="B29" s="21" t="n">
        <f aca="false">[21]output_table!f24/100</f>
        <v>-0.415841597751872</v>
      </c>
      <c r="C29" s="22" t="n">
        <f aca="false">[21]output_table!g24/100</f>
        <v>-0.272369041405237</v>
      </c>
      <c r="D29" s="23" t="n">
        <f aca="false">[21]output_table!h24/100</f>
        <v>-0.143472556346635</v>
      </c>
      <c r="E29" s="21" t="n">
        <f aca="false">[22]output_table!f24/100</f>
        <v>-0.417920665467754</v>
      </c>
      <c r="F29" s="22" t="n">
        <f aca="false">[22]output_table!g24/100</f>
        <v>-0.274718271378962</v>
      </c>
      <c r="G29" s="23" t="n">
        <f aca="false">[22]output_table!h24/100</f>
        <v>-0.143202394088792</v>
      </c>
      <c r="H29" s="21" t="n">
        <f aca="false">[23]output_table!f24/100</f>
        <v>-0.421668677089906</v>
      </c>
      <c r="I29" s="22" t="n">
        <f aca="false">[23]output_table!g24/100</f>
        <v>-0.279343695591198</v>
      </c>
      <c r="J29" s="23" t="n">
        <f aca="false">[23]output_table!h24/100</f>
        <v>-0.142324981498708</v>
      </c>
    </row>
    <row r="30" customFormat="false" ht="15.75" hidden="false" customHeight="true" outlineLevel="0" collapsed="false">
      <c r="A30" s="20" t="s">
        <v>114</v>
      </c>
      <c r="B30" s="21" t="n">
        <f aca="false">[21]output_table!f25/100</f>
        <v>-0.607002249263205</v>
      </c>
      <c r="C30" s="22" t="n">
        <f aca="false">[21]output_table!g25/100</f>
        <v>-0.294360048840776</v>
      </c>
      <c r="D30" s="23" t="n">
        <f aca="false">[21]output_table!h25/100</f>
        <v>-0.312642200422429</v>
      </c>
      <c r="E30" s="21" t="n">
        <f aca="false">[22]output_table!f25/100</f>
        <v>-0.608634495586778</v>
      </c>
      <c r="F30" s="22" t="n">
        <f aca="false">[22]output_table!g25/100</f>
        <v>-0.292838093239146</v>
      </c>
      <c r="G30" s="23" t="n">
        <f aca="false">[22]output_table!h25/100</f>
        <v>-0.315796402347632</v>
      </c>
      <c r="H30" s="21" t="n">
        <f aca="false">[23]output_table!f25/100</f>
        <v>-0.610958974822392</v>
      </c>
      <c r="I30" s="22" t="n">
        <f aca="false">[23]output_table!g25/100</f>
        <v>-0.290659258936552</v>
      </c>
      <c r="J30" s="23" t="n">
        <f aca="false">[23]output_table!h25/100</f>
        <v>-0.32029971588584</v>
      </c>
    </row>
    <row r="31" customFormat="false" ht="15.75" hidden="false" customHeight="true" outlineLevel="0" collapsed="false">
      <c r="A31" s="24" t="s">
        <v>115</v>
      </c>
      <c r="B31" s="25" t="n">
        <f aca="false">[21]output_table!f26/100</f>
        <v>-0.00941277411164548</v>
      </c>
      <c r="C31" s="26" t="n">
        <f aca="false">[21]output_table!g26/100</f>
        <v>0.0843301489970976</v>
      </c>
      <c r="D31" s="27" t="n">
        <f aca="false">[21]output_table!h26/100</f>
        <v>-0.093742923108743</v>
      </c>
      <c r="E31" s="25" t="n">
        <f aca="false">[22]output_table!f26/100</f>
        <v>-0.00938430820136792</v>
      </c>
      <c r="F31" s="26" t="n">
        <f aca="false">[22]output_table!g26/100</f>
        <v>0.086806142477422</v>
      </c>
      <c r="G31" s="27" t="n">
        <f aca="false">[22]output_table!h26/100</f>
        <v>-0.0961904506787899</v>
      </c>
      <c r="H31" s="25" t="n">
        <f aca="false">[23]output_table!f26/100</f>
        <v>-0.00932692139599974</v>
      </c>
      <c r="I31" s="26" t="n">
        <f aca="false">[23]output_table!g26/100</f>
        <v>0.0910492750169509</v>
      </c>
      <c r="J31" s="27" t="n">
        <f aca="false">[23]output_table!h26/100</f>
        <v>-0.100376196412951</v>
      </c>
    </row>
    <row r="32" customFormat="false" ht="12.8" hidden="false" customHeight="false" outlineLevel="0" collapsed="false">
      <c r="A32" s="10" t="s">
        <v>116</v>
      </c>
      <c r="B32" s="28" t="n">
        <f aca="false">AVERAGE(B7:B31)</f>
        <v>-0.361085503980362</v>
      </c>
      <c r="C32" s="28" t="n">
        <f aca="false">AVERAGE(C7:C31)</f>
        <v>-0.412173997086613</v>
      </c>
      <c r="D32" s="28" t="n">
        <f aca="false">AVERAGE(D7:D31)</f>
        <v>0.051088493106251</v>
      </c>
      <c r="E32" s="28" t="n">
        <f aca="false">AVERAGE(E7:E31)</f>
        <v>-0.361441497630097</v>
      </c>
      <c r="F32" s="28" t="n">
        <f aca="false">AVERAGE(F7:F31)</f>
        <v>-0.411658861034018</v>
      </c>
      <c r="G32" s="28" t="n">
        <f aca="false">AVERAGE(G7:G31)</f>
        <v>0.0502173634039201</v>
      </c>
      <c r="H32" s="28" t="n">
        <f aca="false">AVERAGE(H7:H31)</f>
        <v>-0.36203832630061</v>
      </c>
      <c r="I32" s="28" t="n">
        <f aca="false">AVERAGE(I7:I31)</f>
        <v>-0.412069500790125</v>
      </c>
      <c r="J32" s="28" t="n">
        <f aca="false">AVERAGE(J7:J31)</f>
        <v>0.0500311744895146</v>
      </c>
    </row>
    <row r="33" customFormat="false" ht="12.8" hidden="false" customHeight="false" outlineLevel="0" collapsed="false"/>
    <row r="34" customFormat="false" ht="15.75" hidden="false" customHeight="true" outlineLevel="0" collapsed="false">
      <c r="A34" s="10" t="s">
        <v>117</v>
      </c>
    </row>
  </sheetData>
  <mergeCells count="3">
    <mergeCell ref="B5:D5"/>
    <mergeCell ref="E5:G5"/>
    <mergeCell ref="H5:J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60</v>
      </c>
    </row>
    <row r="3" customFormat="false" ht="15.75" hidden="false" customHeight="true" outlineLevel="0" collapsed="false">
      <c r="A3" s="10" t="str">
        <f aca="false">CONCATENATE("Title: The role of China, changes in average volatility due to measured changes in trade barriers, baseline calibration (",_xlfn.UNICHAR(952), " = 4) with different trade cost scenarios for China")</f>
        <v>Title: The role of China, changes in average volatility due to measured changes in trade barriers, baseline calibration (θ = 4) with different trade cost scenarios for China</v>
      </c>
    </row>
    <row r="5" customFormat="false" ht="15.75" hidden="false" customHeight="true" outlineLevel="0" collapsed="false">
      <c r="B5" s="30" t="str">
        <f aca="false">CONCATENATE(_xlfn.UNICHAR(954), "_China,t"," = 0.0001", " for all t")</f>
        <v>κ_China,t = 0.0001 for all t</v>
      </c>
      <c r="C5" s="30"/>
      <c r="D5" s="30"/>
      <c r="E5" s="30" t="str">
        <f aca="false">CONCATENATE(_xlfn.UNICHAR(954), "_China,t"," = ", _xlfn.UNICHAR(954), "_China,1972 for t &gt; 1972")</f>
        <v>κ_China,t = κ_China,1972 for t &gt; 1972</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[24]output_table!f2/100</f>
        <v>-0.0218961029636711</v>
      </c>
      <c r="C7" s="18" t="n">
        <f aca="false">[24]output_table!g2/100</f>
        <v>-0.00440237369734909</v>
      </c>
      <c r="D7" s="19" t="n">
        <f aca="false">[24]output_table!h2/100</f>
        <v>-0.0174937292663219</v>
      </c>
      <c r="E7" s="17" t="n">
        <f aca="false">[25]output_table!f2/100</f>
        <v>-0.0196678831532851</v>
      </c>
      <c r="F7" s="18" t="n">
        <f aca="false">[25]output_table!g2/100</f>
        <v>-0.000595931538534878</v>
      </c>
      <c r="G7" s="19" t="n">
        <f aca="false">[25]output_table!h2/100</f>
        <v>-0.0190719516147501</v>
      </c>
    </row>
    <row r="8" customFormat="false" ht="15.75" hidden="false" customHeight="true" outlineLevel="0" collapsed="false">
      <c r="A8" s="20" t="s">
        <v>92</v>
      </c>
      <c r="B8" s="21" t="n">
        <f aca="false">[24]output_table!f3/100</f>
        <v>-0.41648486992002</v>
      </c>
      <c r="C8" s="22" t="n">
        <f aca="false">[24]output_table!g3/100</f>
        <v>-1.15056013308243</v>
      </c>
      <c r="D8" s="23" t="n">
        <f aca="false">[24]output_table!h3/100</f>
        <v>0.734075263162409</v>
      </c>
      <c r="E8" s="21" t="n">
        <f aca="false">[25]output_table!f3/100</f>
        <v>-0.438932550639296</v>
      </c>
      <c r="F8" s="22" t="n">
        <f aca="false">[25]output_table!g3/100</f>
        <v>-1.12206838074573</v>
      </c>
      <c r="G8" s="23" t="n">
        <f aca="false">[25]output_table!h3/100</f>
        <v>0.683135830106435</v>
      </c>
    </row>
    <row r="9" customFormat="false" ht="15.75" hidden="false" customHeight="true" outlineLevel="0" collapsed="false">
      <c r="A9" s="20" t="s">
        <v>93</v>
      </c>
      <c r="B9" s="21" t="n">
        <f aca="false">[24]output_table!f4/100</f>
        <v>-0.654595263814363</v>
      </c>
      <c r="C9" s="22" t="n">
        <f aca="false">[24]output_table!g4/100</f>
        <v>-1.04751881056035</v>
      </c>
      <c r="D9" s="23" t="n">
        <f aca="false">[24]output_table!h4/100</f>
        <v>0.392923546745983</v>
      </c>
      <c r="E9" s="21" t="n">
        <f aca="false">[25]output_table!f4/100</f>
        <v>-0.654423897175633</v>
      </c>
      <c r="F9" s="22" t="n">
        <f aca="false">[25]output_table!g4/100</f>
        <v>-1.05299157867993</v>
      </c>
      <c r="G9" s="23" t="n">
        <f aca="false">[25]output_table!h4/100</f>
        <v>0.398567681504301</v>
      </c>
    </row>
    <row r="10" customFormat="false" ht="15.75" hidden="false" customHeight="true" outlineLevel="0" collapsed="false">
      <c r="A10" s="20" t="s">
        <v>94</v>
      </c>
      <c r="B10" s="21" t="n">
        <f aca="false">[24]output_table!f5/100</f>
        <v>-0.716929951620671</v>
      </c>
      <c r="C10" s="22" t="n">
        <f aca="false">[24]output_table!g5/100</f>
        <v>-0.978810169054883</v>
      </c>
      <c r="D10" s="23" t="n">
        <f aca="false">[24]output_table!h5/100</f>
        <v>0.261880217434211</v>
      </c>
      <c r="E10" s="21" t="n">
        <f aca="false">[25]output_table!f5/100</f>
        <v>-0.716481217952848</v>
      </c>
      <c r="F10" s="22" t="n">
        <f aca="false">[25]output_table!g5/100</f>
        <v>-0.97923600228885</v>
      </c>
      <c r="G10" s="23" t="n">
        <f aca="false">[25]output_table!h5/100</f>
        <v>0.262754784336002</v>
      </c>
    </row>
    <row r="11" customFormat="false" ht="15.75" hidden="false" customHeight="true" outlineLevel="0" collapsed="false">
      <c r="A11" s="20" t="s">
        <v>95</v>
      </c>
      <c r="B11" s="21" t="n">
        <f aca="false">[24]output_table!f6/100</f>
        <v>2.73923120533303E-005</v>
      </c>
      <c r="C11" s="22" t="n">
        <f aca="false">[24]output_table!g6/100</f>
        <v>4.78307631060547E-005</v>
      </c>
      <c r="D11" s="23" t="n">
        <f aca="false">[24]output_table!h6/100</f>
        <v>-2.04384510527244E-005</v>
      </c>
      <c r="E11" s="21" t="n">
        <f aca="false">[25]output_table!f6/100</f>
        <v>0.00245531141892646</v>
      </c>
      <c r="F11" s="22" t="n">
        <f aca="false">[25]output_table!g6/100</f>
        <v>-0.00382964160244466</v>
      </c>
      <c r="G11" s="23" t="n">
        <f aca="false">[25]output_table!h6/100</f>
        <v>0.00628495302137112</v>
      </c>
    </row>
    <row r="12" customFormat="false" ht="15.75" hidden="false" customHeight="true" outlineLevel="0" collapsed="false">
      <c r="A12" s="20" t="s">
        <v>96</v>
      </c>
      <c r="B12" s="21" t="n">
        <f aca="false">[24]output_table!f7/100</f>
        <v>-0.435903117898321</v>
      </c>
      <c r="C12" s="22" t="n">
        <f aca="false">[24]output_table!g7/100</f>
        <v>-0.63368168521974</v>
      </c>
      <c r="D12" s="23" t="n">
        <f aca="false">[24]output_table!h7/100</f>
        <v>0.197778567321419</v>
      </c>
      <c r="E12" s="21" t="n">
        <f aca="false">[25]output_table!f7/100</f>
        <v>-0.428421419801462</v>
      </c>
      <c r="F12" s="22" t="n">
        <f aca="false">[25]output_table!g7/100</f>
        <v>-0.634034088439061</v>
      </c>
      <c r="G12" s="23" t="n">
        <f aca="false">[25]output_table!h7/100</f>
        <v>0.205612668637599</v>
      </c>
    </row>
    <row r="13" customFormat="false" ht="15.75" hidden="false" customHeight="true" outlineLevel="0" collapsed="false">
      <c r="A13" s="20" t="s">
        <v>97</v>
      </c>
      <c r="B13" s="21" t="n">
        <f aca="false">[24]output_table!f8/100</f>
        <v>-0.770954706709294</v>
      </c>
      <c r="C13" s="22" t="n">
        <f aca="false">[24]output_table!g8/100</f>
        <v>-0.428034805219064</v>
      </c>
      <c r="D13" s="23" t="n">
        <f aca="false">[24]output_table!h8/100</f>
        <v>-0.34291990149023</v>
      </c>
      <c r="E13" s="21" t="n">
        <f aca="false">[25]output_table!f8/100</f>
        <v>-0.778714435055737</v>
      </c>
      <c r="F13" s="22" t="n">
        <f aca="false">[25]output_table!g8/100</f>
        <v>-0.417364272153668</v>
      </c>
      <c r="G13" s="23" t="n">
        <f aca="false">[25]output_table!h8/100</f>
        <v>-0.361350162902069</v>
      </c>
    </row>
    <row r="14" customFormat="false" ht="15.75" hidden="false" customHeight="true" outlineLevel="0" collapsed="false">
      <c r="A14" s="20" t="s">
        <v>98</v>
      </c>
      <c r="B14" s="21" t="n">
        <f aca="false">[24]output_table!f9/100</f>
        <v>-0.388229578507826</v>
      </c>
      <c r="C14" s="22" t="n">
        <f aca="false">[24]output_table!g9/100</f>
        <v>-0.658891459885723</v>
      </c>
      <c r="D14" s="23" t="n">
        <f aca="false">[24]output_table!h9/100</f>
        <v>0.270661881377897</v>
      </c>
      <c r="E14" s="21" t="n">
        <f aca="false">[25]output_table!f9/100</f>
        <v>-0.387519691476728</v>
      </c>
      <c r="F14" s="22" t="n">
        <f aca="false">[25]output_table!g9/100</f>
        <v>-0.657950602379068</v>
      </c>
      <c r="G14" s="23" t="n">
        <f aca="false">[25]output_table!h9/100</f>
        <v>0.270430910902339</v>
      </c>
    </row>
    <row r="15" customFormat="false" ht="15.75" hidden="false" customHeight="true" outlineLevel="0" collapsed="false">
      <c r="A15" s="20" t="s">
        <v>99</v>
      </c>
      <c r="B15" s="21" t="n">
        <f aca="false">[24]output_table!f10/100</f>
        <v>-0.248405632282291</v>
      </c>
      <c r="C15" s="22" t="n">
        <f aca="false">[24]output_table!g10/100</f>
        <v>0.249972611444312</v>
      </c>
      <c r="D15" s="23" t="n">
        <f aca="false">[24]output_table!h10/100</f>
        <v>-0.498378243726603</v>
      </c>
      <c r="E15" s="21" t="n">
        <f aca="false">[25]output_table!f10/100</f>
        <v>-0.247958126099335</v>
      </c>
      <c r="F15" s="22" t="n">
        <f aca="false">[25]output_table!g10/100</f>
        <v>0.241179656306079</v>
      </c>
      <c r="G15" s="23" t="n">
        <f aca="false">[25]output_table!h10/100</f>
        <v>-0.489137782405414</v>
      </c>
    </row>
    <row r="16" customFormat="false" ht="15.75" hidden="false" customHeight="true" outlineLevel="0" collapsed="false">
      <c r="A16" s="20" t="s">
        <v>100</v>
      </c>
      <c r="B16" s="21" t="n">
        <f aca="false">[24]output_table!f11/100</f>
        <v>-0.521363706544546</v>
      </c>
      <c r="C16" s="22" t="n">
        <f aca="false">[24]output_table!g11/100</f>
        <v>-0.481038007966281</v>
      </c>
      <c r="D16" s="23" t="n">
        <f aca="false">[24]output_table!h11/100</f>
        <v>-0.0403256985782658</v>
      </c>
      <c r="E16" s="21" t="n">
        <f aca="false">[25]output_table!f11/100</f>
        <v>-0.520628648565271</v>
      </c>
      <c r="F16" s="22" t="n">
        <f aca="false">[25]output_table!g11/100</f>
        <v>-0.487751519095866</v>
      </c>
      <c r="G16" s="23" t="n">
        <f aca="false">[25]output_table!h11/100</f>
        <v>-0.032877129469405</v>
      </c>
    </row>
    <row r="17" customFormat="false" ht="15.75" hidden="false" customHeight="true" outlineLevel="0" collapsed="false">
      <c r="A17" s="20" t="s">
        <v>101</v>
      </c>
      <c r="B17" s="21" t="n">
        <f aca="false">[24]output_table!f12/100</f>
        <v>-0.229686680672435</v>
      </c>
      <c r="C17" s="22" t="n">
        <f aca="false">[24]output_table!g12/100</f>
        <v>0.0934007705040011</v>
      </c>
      <c r="D17" s="23" t="n">
        <f aca="false">[24]output_table!h12/100</f>
        <v>-0.323087451176436</v>
      </c>
      <c r="E17" s="21" t="n">
        <f aca="false">[25]output_table!f12/100</f>
        <v>-0.214489416083624</v>
      </c>
      <c r="F17" s="22" t="n">
        <f aca="false">[25]output_table!g12/100</f>
        <v>0.101053667069775</v>
      </c>
      <c r="G17" s="23" t="n">
        <f aca="false">[25]output_table!h12/100</f>
        <v>-0.315543083153399</v>
      </c>
    </row>
    <row r="18" customFormat="false" ht="15.75" hidden="false" customHeight="true" outlineLevel="0" collapsed="false">
      <c r="A18" s="20" t="s">
        <v>102</v>
      </c>
      <c r="B18" s="21" t="n">
        <f aca="false">[24]output_table!f13/100</f>
        <v>-0.162320228157664</v>
      </c>
      <c r="C18" s="22" t="n">
        <f aca="false">[24]output_table!g13/100</f>
        <v>-0.0649248925702922</v>
      </c>
      <c r="D18" s="23" t="n">
        <f aca="false">[24]output_table!h13/100</f>
        <v>-0.0973953355873719</v>
      </c>
      <c r="E18" s="21" t="n">
        <f aca="false">[25]output_table!f13/100</f>
        <v>-0.163369871788357</v>
      </c>
      <c r="F18" s="22" t="n">
        <f aca="false">[25]output_table!g13/100</f>
        <v>-0.0588669951801949</v>
      </c>
      <c r="G18" s="23" t="n">
        <f aca="false">[25]output_table!h13/100</f>
        <v>-0.104502876608163</v>
      </c>
    </row>
    <row r="19" customFormat="false" ht="15.75" hidden="false" customHeight="true" outlineLevel="0" collapsed="false">
      <c r="A19" s="20" t="s">
        <v>103</v>
      </c>
      <c r="B19" s="21" t="n">
        <f aca="false">[24]output_table!f14/100</f>
        <v>-0.572234290540782</v>
      </c>
      <c r="C19" s="22" t="n">
        <f aca="false">[24]output_table!g14/100</f>
        <v>-0.717544203940489</v>
      </c>
      <c r="D19" s="23" t="n">
        <f aca="false">[24]output_table!h14/100</f>
        <v>0.145309913399707</v>
      </c>
      <c r="E19" s="21" t="n">
        <f aca="false">[25]output_table!f14/100</f>
        <v>-0.607198009765161</v>
      </c>
      <c r="F19" s="22" t="n">
        <f aca="false">[25]output_table!g14/100</f>
        <v>-0.643800622631151</v>
      </c>
      <c r="G19" s="23" t="n">
        <f aca="false">[25]output_table!h14/100</f>
        <v>0.0366026128659904</v>
      </c>
    </row>
    <row r="20" customFormat="false" ht="15.75" hidden="false" customHeight="true" outlineLevel="0" collapsed="false">
      <c r="A20" s="20" t="s">
        <v>104</v>
      </c>
      <c r="B20" s="21" t="n">
        <f aca="false">[24]output_table!f15/100</f>
        <v>-0.275626703339957</v>
      </c>
      <c r="C20" s="22" t="n">
        <f aca="false">[24]output_table!g15/100</f>
        <v>0.216736233561073</v>
      </c>
      <c r="D20" s="23" t="n">
        <f aca="false">[24]output_table!h15/100</f>
        <v>-0.49236293690103</v>
      </c>
      <c r="E20" s="21" t="n">
        <f aca="false">[25]output_table!f15/100</f>
        <v>-0.273992020153306</v>
      </c>
      <c r="F20" s="22" t="n">
        <f aca="false">[25]output_table!g15/100</f>
        <v>0.213340664630145</v>
      </c>
      <c r="G20" s="23" t="n">
        <f aca="false">[25]output_table!h15/100</f>
        <v>-0.487332684783452</v>
      </c>
    </row>
    <row r="21" customFormat="false" ht="15.75" hidden="false" customHeight="true" outlineLevel="0" collapsed="false">
      <c r="A21" s="20" t="s">
        <v>105</v>
      </c>
      <c r="B21" s="21" t="n">
        <f aca="false">[24]output_table!f16/100</f>
        <v>-0.0196492130557775</v>
      </c>
      <c r="C21" s="22" t="n">
        <f aca="false">[24]output_table!g16/100</f>
        <v>0.0792783947811649</v>
      </c>
      <c r="D21" s="23" t="n">
        <f aca="false">[24]output_table!h16/100</f>
        <v>-0.0989276078369423</v>
      </c>
      <c r="E21" s="21" t="n">
        <f aca="false">[25]output_table!f16/100</f>
        <v>-0.0259630486114502</v>
      </c>
      <c r="F21" s="22" t="n">
        <f aca="false">[25]output_table!g16/100</f>
        <v>0.0806183713348829</v>
      </c>
      <c r="G21" s="23" t="n">
        <f aca="false">[25]output_table!h16/100</f>
        <v>-0.106581419946333</v>
      </c>
    </row>
    <row r="22" customFormat="false" ht="15.75" hidden="false" customHeight="true" outlineLevel="0" collapsed="false">
      <c r="A22" s="20" t="s">
        <v>106</v>
      </c>
      <c r="B22" s="21" t="n">
        <f aca="false">[24]output_table!f17/100</f>
        <v>-0.562124480503203</v>
      </c>
      <c r="C22" s="22" t="n">
        <f aca="false">[24]output_table!g17/100</f>
        <v>-0.926392039717878</v>
      </c>
      <c r="D22" s="23" t="n">
        <f aca="false">[24]output_table!h17/100</f>
        <v>0.364267559214674</v>
      </c>
      <c r="E22" s="21" t="n">
        <f aca="false">[25]output_table!f17/100</f>
        <v>-0.558880151079416</v>
      </c>
      <c r="F22" s="22" t="n">
        <f aca="false">[25]output_table!g17/100</f>
        <v>-0.931708514942454</v>
      </c>
      <c r="G22" s="23" t="n">
        <f aca="false">[25]output_table!h17/100</f>
        <v>0.372828363863037</v>
      </c>
    </row>
    <row r="23" customFormat="false" ht="15.75" hidden="false" customHeight="true" outlineLevel="0" collapsed="false">
      <c r="A23" s="20" t="s">
        <v>107</v>
      </c>
      <c r="B23" s="21" t="n">
        <f aca="false">[24]output_table!f18/100</f>
        <v>-0.717567826706369</v>
      </c>
      <c r="C23" s="22" t="n">
        <f aca="false">[24]output_table!g18/100</f>
        <v>-1.3043861933879</v>
      </c>
      <c r="D23" s="23" t="n">
        <f aca="false">[24]output_table!h18/100</f>
        <v>0.586818366681528</v>
      </c>
      <c r="E23" s="21" t="n">
        <f aca="false">[25]output_table!f18/100</f>
        <v>-0.71717873619417</v>
      </c>
      <c r="F23" s="22" t="n">
        <f aca="false">[25]output_table!g18/100</f>
        <v>-1.30255913537213</v>
      </c>
      <c r="G23" s="23" t="n">
        <f aca="false">[25]output_table!h18/100</f>
        <v>0.585380399177961</v>
      </c>
    </row>
    <row r="24" customFormat="false" ht="15.75" hidden="false" customHeight="true" outlineLevel="0" collapsed="false">
      <c r="A24" s="20" t="s">
        <v>108</v>
      </c>
      <c r="B24" s="21" t="n">
        <f aca="false">[24]output_table!f19/100</f>
        <v>-0.344530468483963</v>
      </c>
      <c r="C24" s="22" t="n">
        <f aca="false">[24]output_table!g19/100</f>
        <v>-0.854873800312538</v>
      </c>
      <c r="D24" s="23" t="n">
        <f aca="false">[24]output_table!h19/100</f>
        <v>0.510343331828575</v>
      </c>
      <c r="E24" s="21" t="n">
        <f aca="false">[25]output_table!f19/100</f>
        <v>-0.347218389839025</v>
      </c>
      <c r="F24" s="22" t="n">
        <f aca="false">[25]output_table!g19/100</f>
        <v>-0.85877631009168</v>
      </c>
      <c r="G24" s="23" t="n">
        <f aca="false">[25]output_table!h19/100</f>
        <v>0.511557920252655</v>
      </c>
    </row>
    <row r="25" customFormat="false" ht="15.75" hidden="false" customHeight="true" outlineLevel="0" collapsed="false">
      <c r="A25" s="20" t="s">
        <v>109</v>
      </c>
      <c r="B25" s="21" t="n">
        <f aca="false">[24]output_table!f20/100</f>
        <v>-0.0825415086838592</v>
      </c>
      <c r="C25" s="22" t="n">
        <f aca="false">[24]output_table!g20/100</f>
        <v>-0.575642040295559</v>
      </c>
      <c r="D25" s="23" t="n">
        <f aca="false">[24]output_table!h20/100</f>
        <v>0.4931005316117</v>
      </c>
      <c r="E25" s="21" t="n">
        <f aca="false">[25]output_table!f20/100</f>
        <v>-0.108909262585042</v>
      </c>
      <c r="F25" s="22" t="n">
        <f aca="false">[25]output_table!g20/100</f>
        <v>-0.556016424413042</v>
      </c>
      <c r="G25" s="23" t="n">
        <f aca="false">[25]output_table!h20/100</f>
        <v>0.447107161828</v>
      </c>
    </row>
    <row r="26" customFormat="false" ht="15.75" hidden="false" customHeight="true" outlineLevel="0" collapsed="false">
      <c r="A26" s="20" t="s">
        <v>110</v>
      </c>
      <c r="B26" s="21" t="n">
        <f aca="false">[24]output_table!f21/100</f>
        <v>0.00847387195541128</v>
      </c>
      <c r="C26" s="22" t="n">
        <f aca="false">[24]output_table!g21/100</f>
        <v>-0.0144986046286064</v>
      </c>
      <c r="D26" s="23" t="n">
        <f aca="false">[24]output_table!h21/100</f>
        <v>0.0229724765840178</v>
      </c>
      <c r="E26" s="21" t="n">
        <f aca="false">[25]output_table!f21/100</f>
        <v>0.0119385396272565</v>
      </c>
      <c r="F26" s="22" t="n">
        <f aca="false">[25]output_table!g21/100</f>
        <v>-0.012435310262334</v>
      </c>
      <c r="G26" s="23" t="n">
        <f aca="false">[25]output_table!h21/100</f>
        <v>0.0243738498895905</v>
      </c>
    </row>
    <row r="27" customFormat="false" ht="15.75" hidden="false" customHeight="true" outlineLevel="0" collapsed="false">
      <c r="A27" s="20" t="s">
        <v>111</v>
      </c>
      <c r="B27" s="21" t="n">
        <f aca="false">[24]output_table!f22/100</f>
        <v>-0.0140012883534573</v>
      </c>
      <c r="C27" s="22" t="n">
        <f aca="false">[24]output_table!g22/100</f>
        <v>-0.087977961290577</v>
      </c>
      <c r="D27" s="23" t="n">
        <f aca="false">[24]output_table!h22/100</f>
        <v>0.0739766729371197</v>
      </c>
      <c r="E27" s="21" t="n">
        <f aca="false">[25]output_table!f22/100</f>
        <v>-0.0156782100041967</v>
      </c>
      <c r="F27" s="22" t="n">
        <f aca="false">[25]output_table!g22/100</f>
        <v>-0.0760873529718931</v>
      </c>
      <c r="G27" s="23" t="n">
        <f aca="false">[25]output_table!h22/100</f>
        <v>0.0604091429676965</v>
      </c>
    </row>
    <row r="28" customFormat="false" ht="15.75" hidden="false" customHeight="true" outlineLevel="0" collapsed="false">
      <c r="A28" s="20" t="s">
        <v>112</v>
      </c>
      <c r="B28" s="21" t="n">
        <f aca="false">[24]output_table!f23/100</f>
        <v>-0.795038422104811</v>
      </c>
      <c r="C28" s="22" t="n">
        <f aca="false">[24]output_table!g23/100</f>
        <v>-0.434322136532216</v>
      </c>
      <c r="D28" s="23" t="n">
        <f aca="false">[24]output_table!h23/100</f>
        <v>-0.360716285572595</v>
      </c>
      <c r="E28" s="21" t="n">
        <f aca="false">[25]output_table!f23/100</f>
        <v>-0.794449683715988</v>
      </c>
      <c r="F28" s="22" t="n">
        <f aca="false">[25]output_table!g23/100</f>
        <v>-0.433570763990323</v>
      </c>
      <c r="G28" s="23" t="n">
        <f aca="false">[25]output_table!h23/100</f>
        <v>-0.360878919725665</v>
      </c>
    </row>
    <row r="29" customFormat="false" ht="15.75" hidden="false" customHeight="true" outlineLevel="0" collapsed="false">
      <c r="A29" s="20" t="s">
        <v>113</v>
      </c>
      <c r="B29" s="21" t="n">
        <f aca="false">[24]output_table!f24/100</f>
        <v>-0.391711879818646</v>
      </c>
      <c r="C29" s="22" t="n">
        <f aca="false">[24]output_table!g24/100</f>
        <v>-0.247755656892051</v>
      </c>
      <c r="D29" s="23" t="n">
        <f aca="false">[24]output_table!h24/100</f>
        <v>-0.143956222926596</v>
      </c>
      <c r="E29" s="21" t="n">
        <f aca="false">[25]output_table!f24/100</f>
        <v>-0.401931912672231</v>
      </c>
      <c r="F29" s="22" t="n">
        <f aca="false">[25]output_table!g24/100</f>
        <v>-0.255587326493613</v>
      </c>
      <c r="G29" s="23" t="n">
        <f aca="false">[25]output_table!h24/100</f>
        <v>-0.146344586178618</v>
      </c>
    </row>
    <row r="30" customFormat="false" ht="15.75" hidden="false" customHeight="true" outlineLevel="0" collapsed="false">
      <c r="A30" s="20" t="s">
        <v>114</v>
      </c>
      <c r="B30" s="21" t="n">
        <f aca="false">[24]output_table!f25/100</f>
        <v>-0.58484269971657</v>
      </c>
      <c r="C30" s="22" t="n">
        <f aca="false">[24]output_table!g25/100</f>
        <v>-0.29606684989844</v>
      </c>
      <c r="D30" s="23" t="n">
        <f aca="false">[24]output_table!h25/100</f>
        <v>-0.28877584981813</v>
      </c>
      <c r="E30" s="21" t="n">
        <f aca="false">[25]output_table!f25/100</f>
        <v>-0.585095549231333</v>
      </c>
      <c r="F30" s="22" t="n">
        <f aca="false">[25]output_table!g25/100</f>
        <v>-0.296901418553679</v>
      </c>
      <c r="G30" s="23" t="n">
        <f aca="false">[25]output_table!h25/100</f>
        <v>-0.288194130677655</v>
      </c>
    </row>
    <row r="31" customFormat="false" ht="15.75" hidden="false" customHeight="true" outlineLevel="0" collapsed="false">
      <c r="A31" s="24" t="s">
        <v>115</v>
      </c>
      <c r="B31" s="25" t="n">
        <f aca="false">[24]output_table!f26/100</f>
        <v>-0.0130572483666685</v>
      </c>
      <c r="C31" s="26" t="n">
        <f aca="false">[24]output_table!g26/100</f>
        <v>0.0744121762426056</v>
      </c>
      <c r="D31" s="27" t="n">
        <f aca="false">[24]output_table!h26/100</f>
        <v>-0.0874694246092741</v>
      </c>
      <c r="E31" s="25" t="n">
        <f aca="false">[25]output_table!f26/100</f>
        <v>-0.0198658557905298</v>
      </c>
      <c r="F31" s="26" t="n">
        <f aca="false">[25]output_table!g26/100</f>
        <v>0.062011706232672</v>
      </c>
      <c r="G31" s="27" t="n">
        <f aca="false">[25]output_table!h26/100</f>
        <v>-0.0818775620232018</v>
      </c>
    </row>
    <row r="32" customFormat="false" ht="12.8" hidden="false" customHeight="false" outlineLevel="0" collapsed="false">
      <c r="A32" s="10" t="s">
        <v>118</v>
      </c>
      <c r="B32" s="28" t="n">
        <f aca="false">AVERAGE(B12:B31,B7:B10)</f>
        <v>-0.372134249867073</v>
      </c>
      <c r="C32" s="28" t="n">
        <f aca="false">AVERAGE(C12:C31,C7:C10)</f>
        <v>-0.424730068234133</v>
      </c>
      <c r="D32" s="28" t="n">
        <f aca="false">AVERAGE(D12:D31,D7:D10)</f>
        <v>0.0525958183670602</v>
      </c>
      <c r="E32" s="28" t="n">
        <f aca="false">AVERAGE(E12:E31,E7:E10)</f>
        <v>-0.375626226991924</v>
      </c>
      <c r="F32" s="28" t="n">
        <f aca="false">AVERAGE(F12:F31,F7:F10)</f>
        <v>-0.420004103527069</v>
      </c>
      <c r="G32" s="28" t="n">
        <f aca="false">AVERAGE(G12:G31,G7:G10)</f>
        <v>0.0443778765351451</v>
      </c>
    </row>
    <row r="33" customFormat="false" ht="12.8" hidden="false" customHeight="false" outlineLevel="0" collapsed="false"/>
    <row r="34" customFormat="false" ht="15.75" hidden="false" customHeight="true" outlineLevel="0" collapsed="false">
      <c r="A34" s="10" t="s">
        <v>117</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D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41"/>
    <col collapsed="false" customWidth="true" hidden="false" outlineLevel="0" max="1025" min="5" style="10" width="14.43"/>
  </cols>
  <sheetData>
    <row r="1" customFormat="false" ht="15.75" hidden="false" customHeight="true" outlineLevel="0" collapsed="false">
      <c r="A1" s="10" t="s">
        <v>69</v>
      </c>
    </row>
    <row r="3" customFormat="false" ht="15.75" hidden="false" customHeight="true" outlineLevel="0" collapsed="false">
      <c r="A3" s="10" t="str">
        <f aca="false">CONCATENATE("Title: Changes in average volatility due to measured changes in trade barriers over decades, baseline calibration (",_xlfn.UNICHAR(952), " = 4)")</f>
        <v>Title: Changes in average volatility due to measured changes in trade barriers over decades, baseline calibration (θ = 4)</v>
      </c>
    </row>
    <row r="5" customFormat="false" ht="41.25" hidden="false" customHeight="true" outlineLevel="0" collapsed="false">
      <c r="A5" s="11"/>
      <c r="B5" s="13" t="s">
        <v>88</v>
      </c>
      <c r="C5" s="14" t="s">
        <v>89</v>
      </c>
      <c r="D5" s="15" t="s">
        <v>90</v>
      </c>
    </row>
    <row r="6" customFormat="false" ht="15.75" hidden="false" customHeight="true" outlineLevel="0" collapsed="false">
      <c r="A6" s="31" t="s">
        <v>119</v>
      </c>
      <c r="B6" s="17" t="n">
        <f aca="false">[26]volatility_by_decade!b2/100</f>
        <v>-0.0346454117791853</v>
      </c>
      <c r="C6" s="18" t="n">
        <f aca="false">[26]volatility_by_decade!c2/100</f>
        <v>-0.157728637070534</v>
      </c>
      <c r="D6" s="19" t="n">
        <f aca="false">[26]volatility_by_decade!d2/100</f>
        <v>0.123083225291349</v>
      </c>
    </row>
    <row r="7" customFormat="false" ht="15.75" hidden="false" customHeight="true" outlineLevel="0" collapsed="false">
      <c r="A7" s="32" t="s">
        <v>120</v>
      </c>
      <c r="B7" s="21" t="n">
        <f aca="false">[26]volatility_by_decade!b3/100</f>
        <v>-0.122605649647202</v>
      </c>
      <c r="C7" s="22" t="n">
        <f aca="false">[26]volatility_by_decade!c3/100</f>
        <v>-0.358976211246128</v>
      </c>
      <c r="D7" s="23" t="n">
        <f aca="false">[26]volatility_by_decade!d3/100</f>
        <v>0.236370561598926</v>
      </c>
    </row>
    <row r="8" customFormat="false" ht="15.75" hidden="false" customHeight="true" outlineLevel="0" collapsed="false">
      <c r="A8" s="32" t="s">
        <v>121</v>
      </c>
      <c r="B8" s="21" t="n">
        <f aca="false">[26]volatility_by_decade!b4/100</f>
        <v>-0.339882118161683</v>
      </c>
      <c r="C8" s="22" t="n">
        <f aca="false">[26]volatility_by_decade!c4/100</f>
        <v>-0.661571142567296</v>
      </c>
      <c r="D8" s="23" t="n">
        <f aca="false">[26]volatility_by_decade!d4/100</f>
        <v>0.321689024405613</v>
      </c>
    </row>
    <row r="9" customFormat="false" ht="15.75" hidden="false" customHeight="true" outlineLevel="0" collapsed="false">
      <c r="A9" s="33" t="s">
        <v>122</v>
      </c>
      <c r="B9" s="25" t="n">
        <f aca="false">[26]volatility_by_decade!b5/100</f>
        <v>-0.669616225478105</v>
      </c>
      <c r="C9" s="26" t="n">
        <f aca="false">[26]volatility_by_decade!c5/100</f>
        <v>-0.645586016994561</v>
      </c>
      <c r="D9" s="27" t="n">
        <f aca="false">[26]volatility_by_decade!d5/100</f>
        <v>-0.0240302084835442</v>
      </c>
    </row>
    <row r="10" customFormat="false" ht="15.75" hidden="false" customHeight="true" outlineLevel="0" collapsed="false">
      <c r="B10" s="34"/>
      <c r="C10" s="34"/>
      <c r="D10" s="34"/>
    </row>
    <row r="11" customFormat="false" ht="36.8" hidden="false" customHeight="true" outlineLevel="0" collapsed="false">
      <c r="A11" s="35" t="s">
        <v>117</v>
      </c>
      <c r="B11" s="35"/>
      <c r="C11" s="35"/>
      <c r="D11" s="35"/>
    </row>
    <row r="12" customFormat="false" ht="15.75" hidden="false" customHeight="true" outlineLevel="0" collapsed="false">
      <c r="B12" s="34"/>
      <c r="C12" s="34"/>
      <c r="D12" s="34"/>
    </row>
    <row r="13" customFormat="false" ht="15.75" hidden="false" customHeight="true" outlineLevel="0" collapsed="false">
      <c r="B13" s="34"/>
      <c r="C13" s="34"/>
      <c r="D13" s="34"/>
    </row>
    <row r="14" customFormat="false" ht="15.75" hidden="false" customHeight="true" outlineLevel="0" collapsed="false">
      <c r="B14" s="34"/>
      <c r="C14" s="34"/>
      <c r="D14" s="34"/>
    </row>
    <row r="15" customFormat="false" ht="15.75" hidden="false" customHeight="true" outlineLevel="0" collapsed="false">
      <c r="B15" s="34"/>
      <c r="C15" s="34"/>
      <c r="D15" s="34"/>
    </row>
    <row r="16" customFormat="false" ht="15.75" hidden="false" customHeight="true" outlineLevel="0" collapsed="false">
      <c r="B16" s="34"/>
      <c r="C16" s="34"/>
      <c r="D16" s="34"/>
    </row>
    <row r="17" customFormat="false" ht="15.75" hidden="false" customHeight="true" outlineLevel="0" collapsed="false">
      <c r="B17" s="34"/>
      <c r="C17" s="34"/>
      <c r="D17" s="34"/>
    </row>
    <row r="18" customFormat="false" ht="15.75" hidden="false" customHeight="true" outlineLevel="0" collapsed="false">
      <c r="B18" s="34"/>
      <c r="C18" s="34"/>
      <c r="D18" s="34"/>
    </row>
    <row r="19" customFormat="false" ht="15.75" hidden="false" customHeight="true" outlineLevel="0" collapsed="false">
      <c r="B19" s="34"/>
      <c r="C19" s="34"/>
      <c r="D19" s="34"/>
    </row>
    <row r="20" customFormat="false" ht="15.75" hidden="false" customHeight="true" outlineLevel="0" collapsed="false">
      <c r="B20" s="34"/>
      <c r="C20" s="34"/>
      <c r="D20" s="34"/>
    </row>
    <row r="21" customFormat="false" ht="15.75" hidden="false" customHeight="true" outlineLevel="0" collapsed="false">
      <c r="B21" s="34"/>
      <c r="C21" s="34"/>
      <c r="D21" s="34"/>
    </row>
    <row r="22" customFormat="false" ht="15.75" hidden="false" customHeight="true" outlineLevel="0" collapsed="false">
      <c r="B22" s="34"/>
      <c r="C22" s="34"/>
      <c r="D22" s="34"/>
    </row>
    <row r="23" customFormat="false" ht="15.75" hidden="false" customHeight="true" outlineLevel="0" collapsed="false">
      <c r="B23" s="34"/>
      <c r="C23" s="34"/>
      <c r="D23" s="34"/>
    </row>
    <row r="24" customFormat="false" ht="15.75" hidden="false" customHeight="true" outlineLevel="0" collapsed="false">
      <c r="B24" s="34"/>
      <c r="C24" s="34"/>
      <c r="D24" s="34"/>
    </row>
    <row r="25" customFormat="false" ht="15.75" hidden="false" customHeight="true" outlineLevel="0" collapsed="false">
      <c r="B25" s="34"/>
      <c r="C25" s="34"/>
      <c r="D25" s="34"/>
    </row>
    <row r="26" customFormat="false" ht="15.75" hidden="false" customHeight="true" outlineLevel="0" collapsed="false">
      <c r="B26" s="34"/>
      <c r="C26" s="34"/>
      <c r="D26" s="34"/>
    </row>
    <row r="27" customFormat="false" ht="15.75" hidden="false" customHeight="true" outlineLevel="0" collapsed="false">
      <c r="B27" s="34"/>
      <c r="C27" s="34"/>
      <c r="D27" s="34"/>
    </row>
    <row r="28" customFormat="false" ht="15.75" hidden="false" customHeight="true" outlineLevel="0" collapsed="false">
      <c r="B28" s="34"/>
      <c r="C28" s="34"/>
      <c r="D28" s="34"/>
    </row>
    <row r="29" customFormat="false" ht="15.75" hidden="false" customHeight="true" outlineLevel="0" collapsed="false">
      <c r="B29" s="34"/>
      <c r="C29" s="34"/>
      <c r="D29" s="34"/>
    </row>
    <row r="30" customFormat="false" ht="15.75" hidden="false" customHeight="true" outlineLevel="0" collapsed="false">
      <c r="B30" s="34"/>
      <c r="C30" s="34"/>
      <c r="D30" s="34"/>
    </row>
  </sheetData>
  <mergeCells count="1">
    <mergeCell ref="A11:D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3012</TotalTime>
  <Application>LibreOffice/6.1.2.1$MacOSX_X86_64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2019-02-11T13:22:35Z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