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externalLinks/_rels/externalLink30.xml.rels" ContentType="application/vnd.openxmlformats-package.relationships+xml"/>
  <Override PartName="/xl/externalLinks/_rels/externalLink29.xml.rels" ContentType="application/vnd.openxmlformats-package.relationships+xml"/>
  <Override PartName="/xl/externalLinks/externalLink30.xml" ContentType="application/vnd.openxmlformats-officedocument.spreadsheetml.externalLink+xml"/>
  <Override PartName="/xl/externalLinks/externalLink29.xml" ContentType="application/vnd.openxmlformats-officedocument.spreadsheetml.externalLink+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basic" sheetId="1" state="visible" r:id="rId2"/>
    <sheet name="Correlation" sheetId="2" state="visible" r:id="rId3"/>
    <sheet name="Table_1" sheetId="3" state="visible" r:id="rId4"/>
    <sheet name="Table_2" sheetId="4" state="visible" r:id="rId5"/>
    <sheet name="Table_3" sheetId="5" state="visible" r:id="rId6"/>
    <sheet name="Table_4" sheetId="6" state="visible" r:id="rId7"/>
    <sheet name="Table_5" sheetId="7" state="visible" r:id="rId8"/>
    <sheet name="Table_6" sheetId="8" state="visible" r:id="rId9"/>
    <sheet name="Table_7" sheetId="9" state="visible" r:id="rId10"/>
    <sheet name="Table_8" sheetId="10" state="visible" r:id="rId11"/>
    <sheet name="Table_A.1" sheetId="11" state="visible" r:id="rId12"/>
    <sheet name="referee" sheetId="12" state="visible" r:id="rId13"/>
  </sheets>
  <externalReferences>
    <externalReference r:id="rId14"/>
    <externalReference r:id="rId1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<sst xmlns="http://schemas.openxmlformats.org/spreadsheetml/2006/main" count="533" uniqueCount="193">
  <si>
    <t xml:space="preserve">Note: the baseline model has Cobb-Douglas final good aggrgeator and balanced trade</t>
  </si>
  <si>
    <t xml:space="preserve">Must be done by</t>
  </si>
  <si>
    <t xml:space="preserve">run</t>
  </si>
  <si>
    <t xml:space="preserve">io_link</t>
  </si>
  <si>
    <t xml:space="preserve">balanced_trade</t>
  </si>
  <si>
    <t xml:space="preserve">labor_adjustment_cost</t>
  </si>
  <si>
    <t xml:space="preserve">theta</t>
  </si>
  <si>
    <t xml:space="preserve">eta</t>
  </si>
  <si>
    <t xml:space="preserve">trade_cost</t>
  </si>
  <si>
    <t xml:space="preserve">shock</t>
  </si>
  <si>
    <t xml:space="preserve">china</t>
  </si>
  <si>
    <t xml:space="preserve">All robsustness checks other than imbalance trade model shoud feature balanced trade</t>
  </si>
  <si>
    <t xml:space="preserve">(not in order of appearance in paper)</t>
  </si>
  <si>
    <t xml:space="preserve">Figure 1</t>
  </si>
  <si>
    <t xml:space="preserve">Histogram of bilateral κ in Manufacturing sectors. Years 1972 and 2007</t>
  </si>
  <si>
    <t xml:space="preserve">Done</t>
  </si>
  <si>
    <t xml:space="preserve">Figure 2</t>
  </si>
  <si>
    <t xml:space="preserve">Histogram of bilateral κ in Agricultural sectors. Years 1972 and 2007</t>
  </si>
  <si>
    <t xml:space="preserve">Figure 3</t>
  </si>
  <si>
    <t xml:space="preserve">Model generated volatility in benchmark v. data</t>
  </si>
  <si>
    <t xml:space="preserve">5/15/2017</t>
  </si>
  <si>
    <t xml:space="preserve">Text P. 27</t>
  </si>
  <si>
    <t xml:space="preserve">Correlation model volatility (standard deviation and variance) and data in full sample and without China</t>
  </si>
  <si>
    <t xml:space="preserve">Figure 4</t>
  </si>
  <si>
    <t xml:space="preserve">Time series of trade volumes in data, baseline, and counterfactual with 1972 trade costs</t>
  </si>
  <si>
    <t xml:space="preserve">Table 1</t>
  </si>
  <si>
    <t xml:space="preserve">Baseline model with balanced trade</t>
  </si>
  <si>
    <t xml:space="preserve">table_1.m</t>
  </si>
  <si>
    <t xml:space="preserve">0011</t>
  </si>
  <si>
    <t xml:space="preserve">0101</t>
  </si>
  <si>
    <t xml:space="preserve">0000</t>
  </si>
  <si>
    <t xml:space="preserve">Column 1</t>
  </si>
  <si>
    <t xml:space="preserve">Difference between full model and case with constant trade costs</t>
  </si>
  <si>
    <t xml:space="preserve">Column 2</t>
  </si>
  <si>
    <t xml:space="preserve">Difference between full model without sectoral shocks, and case with constant trade costs without sectoral shocks</t>
  </si>
  <si>
    <t xml:space="preserve">Column 3</t>
  </si>
  <si>
    <t xml:space="preserve">Difference between columns 1 and 2</t>
  </si>
  <si>
    <t xml:space="preserve">Table 2</t>
  </si>
  <si>
    <t xml:space="preserve">Robustness: model with trade imbalance</t>
  </si>
  <si>
    <t xml:space="preserve">table_2.m</t>
  </si>
  <si>
    <t xml:space="preserve">Table 3</t>
  </si>
  <si>
    <t xml:space="preserve">Robustness: different thetas</t>
  </si>
  <si>
    <t xml:space="preserve">Difference between full model and case with constant trade costs with theta = 2</t>
  </si>
  <si>
    <t xml:space="preserve">table_3.m</t>
  </si>
  <si>
    <t xml:space="preserve">Difference between full model without sectoral shocks, and case with constant trade costs without sectoral shocks, with theta = 2</t>
  </si>
  <si>
    <t xml:space="preserve">Column 4</t>
  </si>
  <si>
    <t xml:space="preserve">Difference between full model and case with constant trade costs with theta = 8</t>
  </si>
  <si>
    <t xml:space="preserve">Column 5</t>
  </si>
  <si>
    <t xml:space="preserve">Difference between full model without sectoral shocks, and case with constant trade costs without sectoral shocks, with theta = 8</t>
  </si>
  <si>
    <t xml:space="preserve">Column 6</t>
  </si>
  <si>
    <t xml:space="preserve">Difference between columns 4 and 5</t>
  </si>
  <si>
    <t xml:space="preserve">Table 4</t>
  </si>
  <si>
    <t xml:space="preserve">Robustness: model without input-output linkages (beta^j = 1 for all j)</t>
  </si>
  <si>
    <t xml:space="preserve">5/21/2017</t>
  </si>
  <si>
    <t xml:space="preserve">table_4.m</t>
  </si>
  <si>
    <t xml:space="preserve">Table 5</t>
  </si>
  <si>
    <t xml:space="preserve">Robustness: model with sectoral reallocation costs</t>
  </si>
  <si>
    <t xml:space="preserve">table_5.m</t>
  </si>
  <si>
    <t xml:space="preserve">Difference between full model and case with constant trade costs, after reducing rho by half</t>
  </si>
  <si>
    <t xml:space="preserve">Difference between full model without sectoral shocks, and case with constant trade costs without sectoral shocks, after reducing rho by half</t>
  </si>
  <si>
    <t xml:space="preserve">Table 6</t>
  </si>
  <si>
    <t xml:space="preserve">Role of China</t>
  </si>
  <si>
    <t xml:space="preserve">table_6.m</t>
  </si>
  <si>
    <t xml:space="preserve">1111</t>
  </si>
  <si>
    <t xml:space="preserve">Difference between full model and case with constant trade costs with all kappas = 0 for China</t>
  </si>
  <si>
    <t xml:space="preserve">Difference between full model without sectoral shocks, and case with constant trade costs without sectoral shocks, with all kappas = 0 for China</t>
  </si>
  <si>
    <t xml:space="preserve">Difference between full model and case where only Chinese kappas are held constant at 1972 levels</t>
  </si>
  <si>
    <t xml:space="preserve">2222</t>
  </si>
  <si>
    <t xml:space="preserve">Difference between full model without sectoral shocks, and case where only Chinese kappas are held constant, without sectoral shocks</t>
  </si>
  <si>
    <t xml:space="preserve">Table 7</t>
  </si>
  <si>
    <t xml:space="preserve">Results by decade</t>
  </si>
  <si>
    <t xml:space="preserve">table_7.m</t>
  </si>
  <si>
    <t xml:space="preserve">Rows</t>
  </si>
  <si>
    <t xml:space="preserve">Only decade averages (no country by country)</t>
  </si>
  <si>
    <t xml:space="preserve">Columns</t>
  </si>
  <si>
    <t xml:space="preserve">Same as Table 1</t>
  </si>
  <si>
    <t xml:space="preserve">Table A.1</t>
  </si>
  <si>
    <t xml:space="preserve">Volatility in the benchmark</t>
  </si>
  <si>
    <t xml:space="preserve">Table_1.m</t>
  </si>
  <si>
    <t xml:space="preserve">Volatility in the benchmark without sectoral shocks</t>
  </si>
  <si>
    <t xml:space="preserve">Volatility in the benchmark at 1972 trade costs</t>
  </si>
  <si>
    <t xml:space="preserve">Volatility in the benchmark without sectoral shocks and at 1972 trade costs</t>
  </si>
  <si>
    <t xml:space="preserve">Letter to referee 3</t>
  </si>
  <si>
    <t xml:space="preserve">Correlations between productivitities we estimate and from KLEMS</t>
  </si>
  <si>
    <t xml:space="preserve">standard deviation</t>
  </si>
  <si>
    <t xml:space="preserve">variance</t>
  </si>
  <si>
    <t xml:space="preserve">Correlation model volatility and data in full sample</t>
  </si>
  <si>
    <t xml:space="preserve">Correlation model volatility and data without China</t>
  </si>
  <si>
    <t xml:space="preserve">Volatility change due to changes in trade barriers
(1)</t>
  </si>
  <si>
    <t xml:space="preserve">Volatility change due to diversification
(2)</t>
  </si>
  <si>
    <t xml:space="preserve">Volatility change due to specialization
(3)</t>
  </si>
  <si>
    <t xml:space="preserve">Australia</t>
  </si>
  <si>
    <t xml:space="preserve">Austria</t>
  </si>
  <si>
    <t xml:space="preserve">Belgium and Luxembourg</t>
  </si>
  <si>
    <t xml:space="preserve">Canada</t>
  </si>
  <si>
    <t xml:space="preserve">China</t>
  </si>
  <si>
    <t xml:space="preserve">Colombia</t>
  </si>
  <si>
    <t xml:space="preserve">Denmark</t>
  </si>
  <si>
    <t xml:space="preserve">Finland</t>
  </si>
  <si>
    <t xml:space="preserve">France</t>
  </si>
  <si>
    <t xml:space="preserve">Germany</t>
  </si>
  <si>
    <t xml:space="preserve">Greece</t>
  </si>
  <si>
    <t xml:space="preserve">India</t>
  </si>
  <si>
    <t xml:space="preserve">Ireland</t>
  </si>
  <si>
    <t xml:space="preserve">Italy</t>
  </si>
  <si>
    <t xml:space="preserve">Japan</t>
  </si>
  <si>
    <t xml:space="preserve">Mexico</t>
  </si>
  <si>
    <t xml:space="preserve">Netherlands</t>
  </si>
  <si>
    <t xml:space="preserve">Norway</t>
  </si>
  <si>
    <t xml:space="preserve">Portugal</t>
  </si>
  <si>
    <t xml:space="preserve">ROW</t>
  </si>
  <si>
    <t xml:space="preserve">South Korea</t>
  </si>
  <si>
    <t xml:space="preserve">Spain</t>
  </si>
  <si>
    <t xml:space="preserve">Sweden</t>
  </si>
  <si>
    <t xml:space="preserve">United Kingdom</t>
  </si>
  <si>
    <t xml:space="preserve">United States</t>
  </si>
  <si>
    <t xml:space="preserve">Average</t>
  </si>
  <si>
    <t xml:space="preserve">Note: Column (1) shows the percent change in average volatility as economies lowered their trading costs. Column (2) shows the contribution of diversification to the change in volatility in (1). Column (3) shows the contribution of specialization to the change in volatility in (1).</t>
  </si>
  <si>
    <t xml:space="preserve">Average (without China)</t>
  </si>
  <si>
    <t xml:space="preserve">70'</t>
  </si>
  <si>
    <t xml:space="preserve">80'</t>
  </si>
  <si>
    <t xml:space="preserve">90'</t>
  </si>
  <si>
    <t xml:space="preserve">00'</t>
  </si>
  <si>
    <t xml:space="preserve">Table 8</t>
  </si>
  <si>
    <t xml:space="preserve">Benchmark volatility
(1)</t>
  </si>
  <si>
    <t xml:space="preserve">Benchmark volatility without sectoral shocks
(2)</t>
  </si>
  <si>
    <t xml:space="preserve">Benchmark volatility at 1972 trade costs
(3)</t>
  </si>
  <si>
    <t xml:space="preserve">Benchmark volatility without sectoral shocks and at 1972 trade costs
(4)</t>
  </si>
  <si>
    <t xml:space="preserve">Note: Column (1) shows the average volatility in the baseline model using the calibrated kappas and shocks from 1972-2007. Column (2) is the volatility in (1) after removing common sectoral shocks. Column (3) shows the average volatility using the calibrated shocks from 1972-2007 under the assumption that trade costs remain at their 1972 levels. Column (4) is similar to (3), after removing common sectoral shocks.</t>
  </si>
  <si>
    <t xml:space="preserve">----------------------------------------------------------------------------------------------------------------------------------------------------------------------------------</t>
  </si>
  <si>
    <t xml:space="preserve">coef</t>
  </si>
  <si>
    <t xml:space="preserve">se</t>
  </si>
  <si>
    <t xml:space="preserve">t</t>
  </si>
  <si>
    <t xml:space="preserve">      name:  &lt;unnamed&gt;</t>
  </si>
  <si>
    <t xml:space="preserve">between countries</t>
  </si>
  <si>
    <t xml:space="preserve">       log:  C:\Users\balaz\Desktop\TFP_comp.log</t>
  </si>
  <si>
    <t xml:space="preserve">within countries</t>
  </si>
  <si>
    <t xml:space="preserve">  log type:  text</t>
  </si>
  <si>
    <t xml:space="preserve">between industries</t>
  </si>
  <si>
    <t xml:space="preserve"> opened on:  26 Jul 2017, 16:45:47</t>
  </si>
  <si>
    <t xml:space="preserve">within industries</t>
  </si>
  <si>
    <t xml:space="preserve">. *(4 variables, 150 observations pasted into data editor)</t>
  </si>
  <si>
    <t xml:space="preserve">. drop if country == 8 | country == 9 | country == 13</t>
  </si>
  <si>
    <t xml:space="preserve">(30 observations deleted)</t>
  </si>
  <si>
    <t xml:space="preserve">. xtset country industry</t>
  </si>
  <si>
    <t xml:space="preserve">       panel variable:  country (strongly balanced)</t>
  </si>
  <si>
    <t xml:space="preserve">        time variable:  industry, 1 to 10</t>
  </si>
  <si>
    <t xml:space="preserve">                delta:  1 unit</t>
  </si>
  <si>
    <t xml:space="preserve">. xtreg euklems model, be</t>
  </si>
  <si>
    <t xml:space="preserve">Between regression (regression on group means)  Number of obs     =        120</t>
  </si>
  <si>
    <t xml:space="preserve">Group variable: country                         Number of groups  =         12</t>
  </si>
  <si>
    <t xml:space="preserve">R-sq:                                           Obs per group:</t>
  </si>
  <si>
    <t xml:space="preserve">     within  = 0.1453                                         min =         10</t>
  </si>
  <si>
    <t xml:space="preserve">     between = 0.0269                                         avg =       10.0</t>
  </si>
  <si>
    <t xml:space="preserve">     overall = 0.1195                                         max =         10</t>
  </si>
  <si>
    <t xml:space="preserve">                                                F(1,10)           =       0.28</t>
  </si>
  <si>
    <t xml:space="preserve">sd(u_i + avg(e_i.))=  1.008061                  Prob &gt; F          =     0.6104</t>
  </si>
  <si>
    <t xml:space="preserve">------------------------------------------------------------------------------</t>
  </si>
  <si>
    <t xml:space="preserve">     euklems |      Coef.   Std. Err.      t    P&gt;|t|     [95% Conf. Interval]</t>
  </si>
  <si>
    <t xml:space="preserve">-------------+----------------------------------------------------------------</t>
  </si>
  <si>
    <t xml:space="preserve">       model |   .0451017   .0857608     0.53   0.610    -.1459853    .2361888</t>
  </si>
  <si>
    <t xml:space="preserve">       _cons |    1.21406   1.029713     1.18   0.266    -1.080283    3.508403</t>
  </si>
  <si>
    <t xml:space="preserve">. xtreg euklems model, fe</t>
  </si>
  <si>
    <t xml:space="preserve">Fixed-effects (within) regression               Number of obs     =        120</t>
  </si>
  <si>
    <t xml:space="preserve">                                                F(1,107)          =      18.19</t>
  </si>
  <si>
    <t xml:space="preserve">corr(u_i, Xb)  = -0.0259                        Prob &gt; F          =     0.0000</t>
  </si>
  <si>
    <t xml:space="preserve">       model |   .0675627   .0158404     4.27   0.000     .0361609    .0989644</t>
  </si>
  <si>
    <t xml:space="preserve">       _cons |   .9553689   .2444903     3.91   0.000     .4706954    1.440042</t>
  </si>
  <si>
    <t xml:space="preserve">     sigma_u |  .96443878</t>
  </si>
  <si>
    <t xml:space="preserve">     sigma_e |  1.7829638</t>
  </si>
  <si>
    <t xml:space="preserve">         rho |  .22636141   (fraction of variance due to u_i)</t>
  </si>
  <si>
    <t xml:space="preserve">F test that all u_i=0: F(11, 107) = 2.92                     Prob &gt; F = 0.0021</t>
  </si>
  <si>
    <t xml:space="preserve">. xtset industry country</t>
  </si>
  <si>
    <t xml:space="preserve">       panel variable:  industry (strongly balanced)</t>
  </si>
  <si>
    <t xml:space="preserve">        time variable:  country, 1 to 15, but with gaps</t>
  </si>
  <si>
    <t xml:space="preserve">Group variable: industry                        Number of groups  =         10</t>
  </si>
  <si>
    <t xml:space="preserve">     within  = 0.0017                                         min =         12</t>
  </si>
  <si>
    <t xml:space="preserve">     between = 0.7262                                         avg =       12.0</t>
  </si>
  <si>
    <t xml:space="preserve">     overall = 0.1195                                         max =         12</t>
  </si>
  <si>
    <t xml:space="preserve">                                                F(1,8)            =      21.22</t>
  </si>
  <si>
    <t xml:space="preserve">sd(u_i + avg(e_i.))=  .6278678                  Prob &gt; F          =     0.0017</t>
  </si>
  <si>
    <t xml:space="preserve">       model |   .1177053   .0255549     4.61   0.002     .0587757    .1766349</t>
  </si>
  <si>
    <t xml:space="preserve">       _cons |   .3778586   .3550332     1.06   0.318    -.4408495    1.196567</t>
  </si>
  <si>
    <t xml:space="preserve">                                                F(1,109)          =       0.19</t>
  </si>
  <si>
    <t xml:space="preserve">corr(u_i, Xb)  = 0.5968                         Prob &gt; F          =     0.6640</t>
  </si>
  <si>
    <t xml:space="preserve">       model |   .0096435   .0221361     0.44   0.664    -.0342295    .0535166</t>
  </si>
  <si>
    <t xml:space="preserve">       _cons |   1.622445    .304623     5.33   0.000     1.018692    2.226197</t>
  </si>
  <si>
    <t xml:space="preserve">     sigma_u |    1.06473</t>
  </si>
  <si>
    <t xml:space="preserve">     sigma_e |  1.8263391</t>
  </si>
  <si>
    <t xml:space="preserve">         rho |  .25366039   (fraction of variance due to u_i)</t>
  </si>
  <si>
    <t xml:space="preserve">F test that all u_i=0: F(9, 109) = 2.63                      Prob &gt; F = 0.0087</t>
  </si>
  <si>
    <t xml:space="preserve">. log close</t>
  </si>
  <si>
    <t xml:space="preserve"> closed on:  26 Jul 2017, 16:47:16</t>
  </si>
</sst>
</file>

<file path=xl/styles.xml><?xml version="1.0" encoding="utf-8"?>
<styleSheet xmlns="http://schemas.openxmlformats.org/spreadsheetml/2006/main">
  <numFmts count="3">
    <numFmt numFmtId="164" formatCode="General"/>
    <numFmt numFmtId="165" formatCode="0.0%"/>
    <numFmt numFmtId="166" formatCode="0.000000"/>
  </numFmts>
  <fonts count="9">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0"/>
      <color rgb="FF000000"/>
      <name val="Arial"/>
      <family val="0"/>
      <charset val="1"/>
    </font>
    <font>
      <sz val="10"/>
      <color rgb="FFFFFFFF"/>
      <name val="Arial"/>
      <family val="0"/>
      <charset val="1"/>
    </font>
    <font>
      <sz val="10"/>
      <color rgb="FF000000"/>
      <name val="Times New Roman"/>
      <family val="1"/>
      <charset val="238"/>
    </font>
    <font>
      <sz val="10"/>
      <name val="Times New Roman"/>
      <family val="1"/>
      <charset val="238"/>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top" textRotation="0" wrapText="false" indent="0" shrinkToFit="false"/>
      <protection locked="true" hidden="false"/>
    </xf>
    <xf numFmtId="164" fontId="0" fillId="2" borderId="0" xfId="0" applyFont="true" applyBorder="true" applyAlignment="true" applyProtection="false">
      <alignment horizontal="center" vertical="top"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5" fontId="8" fillId="0" borderId="6" xfId="0" applyFont="true" applyBorder="true" applyAlignment="true" applyProtection="false">
      <alignment horizontal="right" vertical="bottom" textRotation="0" wrapText="false" indent="0" shrinkToFit="false"/>
      <protection locked="true" hidden="false"/>
    </xf>
    <xf numFmtId="165" fontId="8" fillId="0" borderId="7" xfId="0" applyFont="true" applyBorder="true" applyAlignment="true" applyProtection="false">
      <alignment horizontal="right" vertical="bottom" textRotation="0" wrapText="false" indent="0" shrinkToFit="false"/>
      <protection locked="true" hidden="false"/>
    </xf>
    <xf numFmtId="165" fontId="8" fillId="0" borderId="8" xfId="0" applyFont="true" applyBorder="true" applyAlignment="true" applyProtection="false">
      <alignment horizontal="right" vertical="bottom" textRotation="0" wrapText="false" indent="0" shrinkToFit="false"/>
      <protection locked="true" hidden="false"/>
    </xf>
    <xf numFmtId="164" fontId="7" fillId="0" borderId="9" xfId="0" applyFont="true" applyBorder="true" applyAlignment="true" applyProtection="false">
      <alignment horizontal="general" vertical="bottom" textRotation="0" wrapText="false" indent="0" shrinkToFit="false"/>
      <protection locked="true" hidden="false"/>
    </xf>
    <xf numFmtId="165" fontId="8" fillId="0" borderId="10" xfId="0" applyFont="true" applyBorder="true" applyAlignment="true" applyProtection="false">
      <alignment horizontal="right" vertical="bottom" textRotation="0" wrapText="false" indent="0" shrinkToFit="false"/>
      <protection locked="true" hidden="false"/>
    </xf>
    <xf numFmtId="165" fontId="8" fillId="0" borderId="0" xfId="0" applyFont="true" applyBorder="true" applyAlignment="true" applyProtection="false">
      <alignment horizontal="right" vertical="bottom" textRotation="0" wrapText="false" indent="0" shrinkToFit="false"/>
      <protection locked="true" hidden="false"/>
    </xf>
    <xf numFmtId="165" fontId="8" fillId="0" borderId="11" xfId="0" applyFont="true" applyBorder="true" applyAlignment="true" applyProtection="false">
      <alignment horizontal="right" vertical="bottom" textRotation="0" wrapText="false" indent="0" shrinkToFit="false"/>
      <protection locked="true" hidden="false"/>
    </xf>
    <xf numFmtId="164" fontId="7" fillId="0" borderId="12" xfId="0" applyFont="true" applyBorder="true" applyAlignment="true" applyProtection="false">
      <alignment horizontal="general" vertical="bottom" textRotation="0" wrapText="false" indent="0" shrinkToFit="false"/>
      <protection locked="true" hidden="false"/>
    </xf>
    <xf numFmtId="165" fontId="8" fillId="0" borderId="13" xfId="0" applyFont="true" applyBorder="true" applyAlignment="true" applyProtection="false">
      <alignment horizontal="right" vertical="bottom" textRotation="0" wrapText="false" indent="0" shrinkToFit="false"/>
      <protection locked="true" hidden="false"/>
    </xf>
    <xf numFmtId="165" fontId="8" fillId="0" borderId="1" xfId="0" applyFont="true" applyBorder="true" applyAlignment="true" applyProtection="false">
      <alignment horizontal="right" vertical="bottom" textRotation="0" wrapText="false" indent="0" shrinkToFit="false"/>
      <protection locked="true" hidden="false"/>
    </xf>
    <xf numFmtId="165" fontId="8" fillId="0" borderId="14" xfId="0" applyFont="true" applyBorder="tru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6" fontId="7" fillId="0" borderId="6" xfId="0" applyFont="true" applyBorder="true" applyAlignment="true" applyProtection="false">
      <alignment horizontal="general" vertical="bottom" textRotation="0" wrapText="false" indent="0" shrinkToFit="false"/>
      <protection locked="true" hidden="false"/>
    </xf>
    <xf numFmtId="166" fontId="7" fillId="0" borderId="7" xfId="0" applyFont="true" applyBorder="true" applyAlignment="true" applyProtection="false">
      <alignment horizontal="general" vertical="bottom" textRotation="0" wrapText="false" indent="0" shrinkToFit="false"/>
      <protection locked="true" hidden="false"/>
    </xf>
    <xf numFmtId="166" fontId="7" fillId="0" borderId="8" xfId="0" applyFont="true" applyBorder="true" applyAlignment="true" applyProtection="false">
      <alignment horizontal="general" vertical="bottom" textRotation="0" wrapText="false" indent="0" shrinkToFit="false"/>
      <protection locked="true" hidden="false"/>
    </xf>
    <xf numFmtId="166" fontId="7" fillId="0" borderId="10" xfId="0" applyFont="true" applyBorder="true" applyAlignment="true" applyProtection="false">
      <alignment horizontal="general" vertical="bottom" textRotation="0" wrapText="false" indent="0" shrinkToFit="false"/>
      <protection locked="true" hidden="false"/>
    </xf>
    <xf numFmtId="166" fontId="7" fillId="0" borderId="0" xfId="0" applyFont="true" applyBorder="true" applyAlignment="true" applyProtection="false">
      <alignment horizontal="general" vertical="bottom" textRotation="0" wrapText="false" indent="0" shrinkToFit="false"/>
      <protection locked="true" hidden="false"/>
    </xf>
    <xf numFmtId="166" fontId="7" fillId="0" borderId="11"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6" fontId="7" fillId="0" borderId="13" xfId="0" applyFont="true" applyBorder="true" applyAlignment="tru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6" fontId="7" fillId="0" borderId="1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29.xml"/><Relationship Id="rId15" Type="http://schemas.openxmlformats.org/officeDocument/2006/relationships/externalLink" Target="externalLinks/externalLink30.xml"/><Relationship Id="rId16" Type="http://schemas.openxmlformats.org/officeDocument/2006/relationships/sharedStrings" Target="sharedStrings.xml"/>
</Relationships>
</file>

<file path=xl/externalLinks/_rels/externalLink29.xml.rels><?xml version="1.0" encoding="UTF-8"?>
<Relationships xmlns="http://schemas.openxmlformats.org/package/2006/relationships"><Relationship Id="rId1" Type="http://schemas.openxmlformats.org/officeDocument/2006/relationships/externalLinkPath" Target="Users/koren/Google%20Drive/Research/impvol-julia/experiments/EOS05/output_table.csv" TargetMode="External"/>
</Relationships>
</file>

<file path=xl/externalLinks/_rels/externalLink30.xml.rels><?xml version="1.0" encoding="UTF-8"?>
<Relationships xmlns="http://schemas.openxmlformats.org/package/2006/relationships"><Relationship Id="rId1" Type="http://schemas.openxmlformats.org/officeDocument/2006/relationships/externalLinkPath" Target="Users/koren/Google%20Drive/Research/impvol-julia/experiments/EOS2/output_table.csv" TargetMode="External"/>
</Relationships>
</file>

<file path=xl/externalLinks/externalLink29.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-0.871995016938059</v>
          </cell>
          <cell r="G2">
            <v>-4.78527761838807</v>
          </cell>
          <cell r="H2">
            <v>3.91328260145002</v>
          </cell>
        </row>
        <row r="3">
          <cell r="F3">
            <v>-24.4374821423859</v>
          </cell>
          <cell r="G3">
            <v>-54.3372392480144</v>
          </cell>
          <cell r="H3">
            <v>29.8997571056286</v>
          </cell>
        </row>
        <row r="4">
          <cell r="F4">
            <v>-51.9067343614722</v>
          </cell>
          <cell r="G4">
            <v>-120.014431542971</v>
          </cell>
          <cell r="H4">
            <v>68.1076971814993</v>
          </cell>
        </row>
        <row r="5">
          <cell r="F5">
            <v>-58.0690718007581</v>
          </cell>
          <cell r="G5">
            <v>-79.9086805784265</v>
          </cell>
          <cell r="H5">
            <v>21.8396087776684</v>
          </cell>
        </row>
        <row r="6">
          <cell r="F6">
            <v>0.148798216700991</v>
          </cell>
          <cell r="G6">
            <v>-0.517503332565823</v>
          </cell>
          <cell r="H6">
            <v>0.666301549266814</v>
          </cell>
        </row>
        <row r="7">
          <cell r="F7">
            <v>-14.2564850715132</v>
          </cell>
          <cell r="G7">
            <v>-53.0229168922839</v>
          </cell>
          <cell r="H7">
            <v>38.7664318207707</v>
          </cell>
        </row>
        <row r="8">
          <cell r="F8">
            <v>-49.2452883411108</v>
          </cell>
          <cell r="G8">
            <v>-37.966738886339</v>
          </cell>
          <cell r="H8">
            <v>-11.2785494547718</v>
          </cell>
        </row>
        <row r="9">
          <cell r="F9">
            <v>-27.7226086616764</v>
          </cell>
          <cell r="G9">
            <v>-54.5526515343252</v>
          </cell>
          <cell r="H9">
            <v>26.8300428726488</v>
          </cell>
        </row>
        <row r="10">
          <cell r="F10">
            <v>-11.3835253898429</v>
          </cell>
          <cell r="G10">
            <v>4.10072534058516</v>
          </cell>
          <cell r="H10">
            <v>-15.484250730428</v>
          </cell>
        </row>
        <row r="11">
          <cell r="F11">
            <v>-19.3471852953465</v>
          </cell>
          <cell r="G11">
            <v>-25.5467838279911</v>
          </cell>
          <cell r="H11">
            <v>6.19959853264459</v>
          </cell>
        </row>
        <row r="12">
          <cell r="F12">
            <v>-19.6861749866989</v>
          </cell>
          <cell r="G12">
            <v>-2.33002931491005</v>
          </cell>
          <cell r="H12">
            <v>-17.3561456717888</v>
          </cell>
        </row>
        <row r="13">
          <cell r="F13">
            <v>-17.4660605201418</v>
          </cell>
          <cell r="G13">
            <v>-6.36371613876475</v>
          </cell>
          <cell r="H13">
            <v>-11.102344381377</v>
          </cell>
        </row>
        <row r="14">
          <cell r="F14">
            <v>-42.3678389613345</v>
          </cell>
          <cell r="G14">
            <v>-50.9302170187423</v>
          </cell>
          <cell r="H14">
            <v>8.56237805740784</v>
          </cell>
        </row>
        <row r="15">
          <cell r="F15">
            <v>-10.6176015864681</v>
          </cell>
          <cell r="G15">
            <v>3.04484286407378</v>
          </cell>
          <cell r="H15">
            <v>-13.6624444505419</v>
          </cell>
        </row>
        <row r="16">
          <cell r="F16">
            <v>2.96940293156509</v>
          </cell>
          <cell r="G16">
            <v>0.754191321264443</v>
          </cell>
          <cell r="H16">
            <v>2.21521161030064</v>
          </cell>
        </row>
        <row r="17">
          <cell r="F17">
            <v>-46.7974722117531</v>
          </cell>
          <cell r="G17">
            <v>-57.8010968696742</v>
          </cell>
          <cell r="H17">
            <v>11.0036246579211</v>
          </cell>
        </row>
        <row r="18">
          <cell r="F18">
            <v>-39.8552026477866</v>
          </cell>
          <cell r="G18">
            <v>-91.2143662445799</v>
          </cell>
          <cell r="H18">
            <v>51.3591635967933</v>
          </cell>
        </row>
        <row r="19">
          <cell r="F19">
            <v>-20.5316753152855</v>
          </cell>
          <cell r="G19">
            <v>-88.9409467706447</v>
          </cell>
          <cell r="H19">
            <v>68.4092714553592</v>
          </cell>
        </row>
        <row r="20">
          <cell r="F20">
            <v>-4.48722535326793</v>
          </cell>
          <cell r="G20">
            <v>-49.6369095325512</v>
          </cell>
          <cell r="H20">
            <v>45.1496841792833</v>
          </cell>
        </row>
        <row r="21">
          <cell r="F21">
            <v>2.42106592073112</v>
          </cell>
          <cell r="G21">
            <v>-4.58193011121156</v>
          </cell>
          <cell r="H21">
            <v>7.00299603194268</v>
          </cell>
        </row>
        <row r="22">
          <cell r="F22">
            <v>-1.45737451200485</v>
          </cell>
          <cell r="G22">
            <v>-7.98375863200927</v>
          </cell>
          <cell r="H22">
            <v>6.52638412000442</v>
          </cell>
        </row>
        <row r="23">
          <cell r="F23">
            <v>-38.0717854226395</v>
          </cell>
          <cell r="G23">
            <v>-24.5862184231078</v>
          </cell>
          <cell r="H23">
            <v>-13.4855669995317</v>
          </cell>
        </row>
        <row r="24">
          <cell r="F24">
            <v>-30.7753648851186</v>
          </cell>
          <cell r="G24">
            <v>-35.6293815819547</v>
          </cell>
          <cell r="H24">
            <v>4.85401669683606</v>
          </cell>
        </row>
        <row r="25">
          <cell r="F25">
            <v>-28.2944435893703</v>
          </cell>
          <cell r="G25">
            <v>-20.9917282784647</v>
          </cell>
          <cell r="H25">
            <v>-7.30271531090558</v>
          </cell>
        </row>
        <row r="26">
          <cell r="F26">
            <v>0.274887888504036</v>
          </cell>
          <cell r="G26">
            <v>0.483104676231486</v>
          </cell>
          <cell r="H26">
            <v>-0.20821678772745</v>
          </cell>
        </row>
      </sheetData>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-7.23492731217544</v>
          </cell>
          <cell r="G2">
            <v>23.7645038137774</v>
          </cell>
          <cell r="H2">
            <v>-30.9994311259528</v>
          </cell>
        </row>
        <row r="3">
          <cell r="F3">
            <v>-22.8230753231275</v>
          </cell>
          <cell r="G3">
            <v>15.6385428602272</v>
          </cell>
          <cell r="H3">
            <v>-38.4616181833547</v>
          </cell>
        </row>
        <row r="4">
          <cell r="F4">
            <v>-77.417062133289</v>
          </cell>
          <cell r="G4">
            <v>37.6039161400117</v>
          </cell>
          <cell r="H4">
            <v>-115.020978273301</v>
          </cell>
        </row>
        <row r="5">
          <cell r="F5">
            <v>-81.3742436866602</v>
          </cell>
          <cell r="G5">
            <v>-114.810123085594</v>
          </cell>
          <cell r="H5">
            <v>33.4358793989334</v>
          </cell>
        </row>
        <row r="6">
          <cell r="F6">
            <v>-0.227964164184585</v>
          </cell>
          <cell r="G6">
            <v>1.88861176725159</v>
          </cell>
          <cell r="H6">
            <v>-2.11657593143618</v>
          </cell>
        </row>
        <row r="7">
          <cell r="F7">
            <v>-60.3481275834134</v>
          </cell>
          <cell r="G7">
            <v>-42.4098633842026</v>
          </cell>
          <cell r="H7">
            <v>-17.9382641992108</v>
          </cell>
        </row>
        <row r="8">
          <cell r="F8">
            <v>-80.5623863063795</v>
          </cell>
          <cell r="G8">
            <v>22.2387408478649</v>
          </cell>
          <cell r="H8">
            <v>-102.801127154244</v>
          </cell>
        </row>
        <row r="9">
          <cell r="F9">
            <v>-10.2549710959205</v>
          </cell>
          <cell r="G9">
            <v>-2.19850232691694</v>
          </cell>
          <cell r="H9">
            <v>-8.05646876900356</v>
          </cell>
        </row>
        <row r="10">
          <cell r="F10">
            <v>19.9010897848067</v>
          </cell>
          <cell r="G10">
            <v>83.7714983171599</v>
          </cell>
          <cell r="H10">
            <v>-63.8704085323531</v>
          </cell>
        </row>
        <row r="11">
          <cell r="F11">
            <v>157.632433295042</v>
          </cell>
          <cell r="G11">
            <v>47.9272941067823</v>
          </cell>
          <cell r="H11">
            <v>109.70513918826</v>
          </cell>
        </row>
        <row r="12">
          <cell r="F12">
            <v>-15.8048493772097</v>
          </cell>
          <cell r="G12">
            <v>19.6454646122422</v>
          </cell>
          <cell r="H12">
            <v>-35.4503139894519</v>
          </cell>
        </row>
        <row r="13">
          <cell r="F13">
            <v>-7.49476493598397</v>
          </cell>
          <cell r="G13">
            <v>-0.779280541311926</v>
          </cell>
          <cell r="H13">
            <v>-6.71548439467204</v>
          </cell>
        </row>
        <row r="14">
          <cell r="F14">
            <v>-31.5300992401331</v>
          </cell>
          <cell r="G14">
            <v>-23.7501064971338</v>
          </cell>
          <cell r="H14">
            <v>-7.77999274299929</v>
          </cell>
        </row>
        <row r="15">
          <cell r="F15">
            <v>-5.49753947063335</v>
          </cell>
          <cell r="G15">
            <v>65.937894183685</v>
          </cell>
          <cell r="H15">
            <v>-71.4354336543184</v>
          </cell>
        </row>
        <row r="16">
          <cell r="F16">
            <v>7.9719948086892</v>
          </cell>
          <cell r="G16">
            <v>17.3708435483298</v>
          </cell>
          <cell r="H16">
            <v>-9.39884873964065</v>
          </cell>
        </row>
        <row r="17">
          <cell r="F17">
            <v>-33.1043806473291</v>
          </cell>
          <cell r="G17">
            <v>-65.5061779791485</v>
          </cell>
          <cell r="H17">
            <v>32.4017973318194</v>
          </cell>
        </row>
        <row r="18">
          <cell r="F18">
            <v>-34.7105652883372</v>
          </cell>
          <cell r="G18">
            <v>-18.8868133215729</v>
          </cell>
          <cell r="H18">
            <v>-15.8237519667643</v>
          </cell>
        </row>
        <row r="19">
          <cell r="F19">
            <v>-38.2826257083383</v>
          </cell>
          <cell r="G19">
            <v>-37.7981614204648</v>
          </cell>
          <cell r="H19">
            <v>-0.484464287873454</v>
          </cell>
        </row>
        <row r="20">
          <cell r="F20">
            <v>-5.82872078297532</v>
          </cell>
          <cell r="G20">
            <v>166.23371979197</v>
          </cell>
          <cell r="H20">
            <v>-172.062440574945</v>
          </cell>
        </row>
        <row r="21">
          <cell r="F21">
            <v>2.64858142588495</v>
          </cell>
          <cell r="G21">
            <v>10.6312081109899</v>
          </cell>
          <cell r="H21">
            <v>-7.98262668510493</v>
          </cell>
        </row>
        <row r="22">
          <cell r="F22">
            <v>79.2225852507143</v>
          </cell>
          <cell r="G22">
            <v>80.7671138129608</v>
          </cell>
          <cell r="H22">
            <v>-1.54452856224645</v>
          </cell>
        </row>
        <row r="23">
          <cell r="F23">
            <v>-53.3366574083791</v>
          </cell>
          <cell r="G23">
            <v>33.9166529569355</v>
          </cell>
          <cell r="H23">
            <v>-87.2533103653146</v>
          </cell>
        </row>
        <row r="24">
          <cell r="F24">
            <v>34.0016562998975</v>
          </cell>
          <cell r="G24">
            <v>46.5582311452327</v>
          </cell>
          <cell r="H24">
            <v>-12.5565748453352</v>
          </cell>
        </row>
        <row r="25">
          <cell r="F25">
            <v>-0.387560202024685</v>
          </cell>
          <cell r="G25">
            <v>114.323422022419</v>
          </cell>
          <cell r="H25">
            <v>-114.710982224443</v>
          </cell>
        </row>
        <row r="26">
          <cell r="F26">
            <v>21.0206312128304</v>
          </cell>
          <cell r="G26">
            <v>35.9960903355552</v>
          </cell>
          <cell r="H26">
            <v>-14.9754591227248</v>
          </cell>
        </row>
      </sheetData>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4.43"/>
    <col collapsed="false" customWidth="true" hidden="false" outlineLevel="0" max="3" min="3" style="0" width="120.71"/>
    <col collapsed="false" customWidth="true" hidden="false" outlineLevel="0" max="1025" min="4" style="0" width="14.43"/>
  </cols>
  <sheetData>
    <row r="1" customFormat="false" ht="12.75" hidden="false" customHeight="false" outlineLevel="0" collapsed="false">
      <c r="A1" s="1" t="s">
        <v>0</v>
      </c>
      <c r="B1" s="2"/>
      <c r="C1" s="2"/>
      <c r="D1" s="1" t="s">
        <v>1</v>
      </c>
      <c r="E1" s="2"/>
      <c r="F1" s="2"/>
      <c r="G1" s="2"/>
      <c r="H1" s="1" t="s">
        <v>2</v>
      </c>
      <c r="I1" s="2"/>
      <c r="J1" s="2"/>
      <c r="K1" s="1" t="s">
        <v>3</v>
      </c>
      <c r="L1" s="1" t="s">
        <v>4</v>
      </c>
      <c r="M1" s="1" t="s">
        <v>5</v>
      </c>
      <c r="N1" s="1" t="s">
        <v>6</v>
      </c>
      <c r="O1" s="1" t="s">
        <v>7</v>
      </c>
      <c r="P1" s="1" t="s">
        <v>8</v>
      </c>
      <c r="Q1" s="1" t="s">
        <v>9</v>
      </c>
      <c r="R1" s="2" t="s">
        <v>10</v>
      </c>
      <c r="S1" s="3"/>
      <c r="T1" s="3"/>
      <c r="U1" s="3"/>
      <c r="V1" s="3"/>
      <c r="W1" s="3"/>
      <c r="X1" s="3"/>
      <c r="Y1" s="3"/>
      <c r="Z1" s="3"/>
    </row>
    <row r="2" customFormat="false" ht="12.75" hidden="false" customHeight="false" outlineLevel="0" collapsed="false">
      <c r="A2" s="4" t="s">
        <v>11</v>
      </c>
      <c r="B2" s="2"/>
      <c r="C2" s="2"/>
      <c r="D2" s="1" t="s">
        <v>12</v>
      </c>
      <c r="E2" s="2"/>
      <c r="F2" s="2"/>
      <c r="G2" s="2"/>
      <c r="H2" s="2"/>
      <c r="I2" s="2"/>
      <c r="J2" s="2"/>
      <c r="K2" s="2"/>
      <c r="L2" s="2"/>
      <c r="M2" s="2"/>
      <c r="N2" s="2"/>
      <c r="O2" s="2"/>
      <c r="P2" s="2"/>
      <c r="Q2" s="2"/>
      <c r="R2" s="2"/>
      <c r="S2" s="3"/>
      <c r="T2" s="3"/>
      <c r="U2" s="3"/>
      <c r="V2" s="3"/>
      <c r="W2" s="3"/>
      <c r="X2" s="3"/>
      <c r="Y2" s="3"/>
      <c r="Z2" s="3"/>
    </row>
    <row r="3" customFormat="false" ht="12.75" hidden="false" customHeight="false" outlineLevel="0" collapsed="false">
      <c r="A3" s="2"/>
      <c r="B3" s="2"/>
      <c r="C3" s="2"/>
      <c r="D3" s="2"/>
      <c r="E3" s="2"/>
      <c r="F3" s="2"/>
      <c r="G3" s="2"/>
      <c r="H3" s="2"/>
      <c r="I3" s="2"/>
      <c r="J3" s="2"/>
      <c r="K3" s="2"/>
      <c r="L3" s="2"/>
      <c r="M3" s="2"/>
      <c r="N3" s="2"/>
      <c r="O3" s="2"/>
      <c r="P3" s="2"/>
      <c r="Q3" s="2"/>
      <c r="R3" s="2"/>
      <c r="S3" s="3"/>
      <c r="T3" s="3"/>
      <c r="U3" s="3"/>
      <c r="V3" s="3"/>
      <c r="W3" s="3"/>
      <c r="X3" s="3"/>
      <c r="Y3" s="3"/>
      <c r="Z3" s="3"/>
    </row>
    <row r="4" customFormat="false" ht="12.75" hidden="false" customHeight="false" outlineLevel="0" collapsed="false">
      <c r="A4" s="1" t="s">
        <v>13</v>
      </c>
      <c r="B4" s="2"/>
      <c r="C4" s="1" t="s">
        <v>14</v>
      </c>
      <c r="D4" s="2"/>
      <c r="E4" s="1" t="s">
        <v>15</v>
      </c>
      <c r="F4" s="2"/>
      <c r="G4" s="2"/>
      <c r="H4" s="2"/>
      <c r="I4" s="2"/>
      <c r="J4" s="2"/>
      <c r="K4" s="2"/>
      <c r="L4" s="2"/>
      <c r="M4" s="2"/>
      <c r="N4" s="2"/>
      <c r="O4" s="2"/>
      <c r="P4" s="2"/>
      <c r="Q4" s="2"/>
      <c r="R4" s="2"/>
      <c r="S4" s="3"/>
      <c r="T4" s="3"/>
      <c r="U4" s="3"/>
      <c r="V4" s="3"/>
      <c r="W4" s="3"/>
      <c r="X4" s="3"/>
      <c r="Y4" s="3"/>
      <c r="Z4" s="3"/>
    </row>
    <row r="5" customFormat="false" ht="12.75" hidden="false" customHeight="false" outlineLevel="0" collapsed="false">
      <c r="A5" s="1" t="s">
        <v>16</v>
      </c>
      <c r="B5" s="2"/>
      <c r="C5" s="1" t="s">
        <v>17</v>
      </c>
      <c r="D5" s="2"/>
      <c r="E5" s="1" t="s">
        <v>15</v>
      </c>
      <c r="F5" s="2"/>
      <c r="G5" s="2"/>
      <c r="H5" s="2"/>
      <c r="I5" s="2"/>
      <c r="J5" s="2"/>
      <c r="K5" s="2"/>
      <c r="L5" s="2"/>
      <c r="M5" s="2"/>
      <c r="N5" s="2"/>
      <c r="O5" s="2"/>
      <c r="P5" s="2"/>
      <c r="Q5" s="2"/>
      <c r="R5" s="2"/>
      <c r="S5" s="3"/>
      <c r="T5" s="3"/>
      <c r="U5" s="3"/>
      <c r="V5" s="3"/>
      <c r="W5" s="3"/>
      <c r="X5" s="3"/>
      <c r="Y5" s="3"/>
      <c r="Z5" s="3"/>
    </row>
    <row r="6" customFormat="false" ht="12.75" hidden="false" customHeight="false" outlineLevel="0" collapsed="false">
      <c r="A6" s="1" t="s">
        <v>18</v>
      </c>
      <c r="B6" s="2"/>
      <c r="C6" s="1" t="s">
        <v>19</v>
      </c>
      <c r="D6" s="5" t="s">
        <v>20</v>
      </c>
      <c r="E6" s="2"/>
      <c r="F6" s="2"/>
      <c r="G6" s="2"/>
      <c r="H6" s="2"/>
      <c r="I6" s="2"/>
      <c r="J6" s="2"/>
      <c r="K6" s="2"/>
      <c r="L6" s="2"/>
      <c r="M6" s="2"/>
      <c r="N6" s="2"/>
      <c r="O6" s="2"/>
      <c r="P6" s="2"/>
      <c r="Q6" s="2"/>
      <c r="R6" s="2"/>
      <c r="S6" s="3"/>
      <c r="T6" s="3"/>
      <c r="U6" s="3"/>
      <c r="V6" s="3"/>
      <c r="W6" s="3"/>
      <c r="X6" s="3"/>
      <c r="Y6" s="3"/>
      <c r="Z6" s="3"/>
    </row>
    <row r="7" customFormat="false" ht="12.75" hidden="false" customHeight="false" outlineLevel="0" collapsed="false">
      <c r="A7" s="1" t="s">
        <v>21</v>
      </c>
      <c r="B7" s="2"/>
      <c r="C7" s="1" t="s">
        <v>22</v>
      </c>
      <c r="D7" s="5" t="s">
        <v>20</v>
      </c>
      <c r="E7" s="2"/>
      <c r="F7" s="2"/>
      <c r="G7" s="2"/>
      <c r="H7" s="2"/>
      <c r="I7" s="2"/>
      <c r="J7" s="2"/>
      <c r="K7" s="2"/>
      <c r="L7" s="2"/>
      <c r="M7" s="2"/>
      <c r="N7" s="2"/>
      <c r="O7" s="2"/>
      <c r="P7" s="2"/>
      <c r="Q7" s="2"/>
      <c r="R7" s="2"/>
      <c r="S7" s="3"/>
      <c r="T7" s="3"/>
      <c r="U7" s="3"/>
      <c r="V7" s="3"/>
      <c r="W7" s="3"/>
      <c r="X7" s="3"/>
      <c r="Y7" s="3"/>
      <c r="Z7" s="3"/>
    </row>
    <row r="8" customFormat="false" ht="12.75" hidden="false" customHeight="false" outlineLevel="0" collapsed="false">
      <c r="A8" s="1" t="s">
        <v>23</v>
      </c>
      <c r="B8" s="2"/>
      <c r="C8" s="1" t="s">
        <v>24</v>
      </c>
      <c r="D8" s="5" t="s">
        <v>20</v>
      </c>
      <c r="E8" s="2"/>
      <c r="F8" s="2"/>
      <c r="G8" s="2"/>
      <c r="H8" s="2"/>
      <c r="I8" s="2"/>
      <c r="J8" s="2"/>
      <c r="K8" s="2"/>
      <c r="L8" s="2"/>
      <c r="M8" s="2"/>
      <c r="N8" s="2"/>
      <c r="O8" s="2"/>
      <c r="P8" s="2"/>
      <c r="Q8" s="2"/>
      <c r="R8" s="2"/>
      <c r="S8" s="3"/>
      <c r="T8" s="3"/>
      <c r="U8" s="3"/>
      <c r="V8" s="3"/>
      <c r="W8" s="3"/>
      <c r="X8" s="3"/>
      <c r="Y8" s="3"/>
      <c r="Z8" s="3"/>
    </row>
    <row r="9" customFormat="false" ht="12.75" hidden="false" customHeight="false" outlineLevel="0" collapsed="false">
      <c r="A9" s="1" t="s">
        <v>25</v>
      </c>
      <c r="B9" s="1" t="s">
        <v>26</v>
      </c>
      <c r="C9" s="2"/>
      <c r="D9" s="6" t="s">
        <v>20</v>
      </c>
      <c r="E9" s="2"/>
      <c r="F9" s="2"/>
      <c r="G9" s="2"/>
      <c r="H9" s="1" t="s">
        <v>27</v>
      </c>
      <c r="I9" s="2"/>
      <c r="J9" s="2"/>
      <c r="K9" s="7" t="n">
        <v>1</v>
      </c>
      <c r="L9" s="7" t="n">
        <v>1</v>
      </c>
      <c r="M9" s="7" t="n">
        <v>0</v>
      </c>
      <c r="N9" s="7" t="n">
        <v>4</v>
      </c>
      <c r="O9" s="7" t="n">
        <v>4</v>
      </c>
      <c r="P9" s="1" t="s">
        <v>28</v>
      </c>
      <c r="Q9" s="1" t="s">
        <v>29</v>
      </c>
      <c r="R9" s="2" t="s">
        <v>30</v>
      </c>
      <c r="S9" s="3"/>
      <c r="T9" s="3"/>
      <c r="U9" s="3"/>
      <c r="V9" s="3"/>
      <c r="W9" s="3"/>
      <c r="X9" s="3"/>
      <c r="Y9" s="3"/>
      <c r="Z9" s="3"/>
    </row>
    <row r="10" customFormat="false" ht="12.75" hidden="false" customHeight="false" outlineLevel="0" collapsed="false">
      <c r="A10" s="2"/>
      <c r="B10" s="1" t="s">
        <v>31</v>
      </c>
      <c r="C10" s="1" t="s">
        <v>32</v>
      </c>
      <c r="D10" s="6"/>
      <c r="E10" s="2"/>
      <c r="F10" s="2"/>
      <c r="G10" s="2"/>
      <c r="H10" s="2"/>
      <c r="I10" s="2"/>
      <c r="J10" s="2"/>
      <c r="K10" s="2"/>
      <c r="L10" s="2"/>
      <c r="M10" s="2"/>
      <c r="N10" s="2"/>
      <c r="O10" s="2"/>
      <c r="P10" s="2"/>
      <c r="Q10" s="2"/>
      <c r="R10" s="2"/>
      <c r="S10" s="3"/>
      <c r="T10" s="3"/>
      <c r="U10" s="3"/>
      <c r="V10" s="3"/>
      <c r="W10" s="3"/>
      <c r="X10" s="3"/>
      <c r="Y10" s="3"/>
      <c r="Z10" s="3"/>
    </row>
    <row r="11" customFormat="false" ht="12.75" hidden="false" customHeight="false" outlineLevel="0" collapsed="false">
      <c r="A11" s="2"/>
      <c r="B11" s="1" t="s">
        <v>33</v>
      </c>
      <c r="C11" s="1" t="s">
        <v>34</v>
      </c>
      <c r="D11" s="6"/>
      <c r="E11" s="2"/>
      <c r="F11" s="2"/>
      <c r="G11" s="2"/>
      <c r="H11" s="2"/>
      <c r="I11" s="2"/>
      <c r="J11" s="2"/>
      <c r="K11" s="2"/>
      <c r="L11" s="2"/>
      <c r="M11" s="2"/>
      <c r="N11" s="2"/>
      <c r="O11" s="2"/>
      <c r="P11" s="2"/>
      <c r="Q11" s="2"/>
      <c r="R11" s="2"/>
      <c r="S11" s="3"/>
      <c r="T11" s="3"/>
      <c r="U11" s="3"/>
      <c r="V11" s="3"/>
      <c r="W11" s="3"/>
      <c r="X11" s="3"/>
      <c r="Y11" s="3"/>
      <c r="Z11" s="3"/>
    </row>
    <row r="12" customFormat="false" ht="12.75" hidden="false" customHeight="false" outlineLevel="0" collapsed="false">
      <c r="A12" s="2"/>
      <c r="B12" s="1" t="s">
        <v>35</v>
      </c>
      <c r="C12" s="1" t="s">
        <v>36</v>
      </c>
      <c r="D12" s="6"/>
      <c r="E12" s="2"/>
      <c r="F12" s="2"/>
      <c r="G12" s="2"/>
      <c r="H12" s="2"/>
      <c r="I12" s="2"/>
      <c r="J12" s="2"/>
      <c r="K12" s="2"/>
      <c r="L12" s="2"/>
      <c r="M12" s="2"/>
      <c r="N12" s="2"/>
      <c r="O12" s="2"/>
      <c r="P12" s="2"/>
      <c r="Q12" s="2"/>
      <c r="R12" s="2"/>
      <c r="S12" s="3"/>
      <c r="T12" s="3"/>
      <c r="U12" s="3"/>
      <c r="V12" s="3"/>
      <c r="W12" s="3"/>
      <c r="X12" s="3"/>
      <c r="Y12" s="3"/>
      <c r="Z12" s="3"/>
    </row>
    <row r="13" customFormat="false" ht="12.75" hidden="false" customHeight="false" outlineLevel="0" collapsed="false">
      <c r="A13" s="1" t="s">
        <v>37</v>
      </c>
      <c r="B13" s="1" t="s">
        <v>38</v>
      </c>
      <c r="C13" s="2"/>
      <c r="D13" s="6" t="s">
        <v>20</v>
      </c>
      <c r="E13" s="2"/>
      <c r="F13" s="2"/>
      <c r="G13" s="2"/>
      <c r="H13" s="1" t="s">
        <v>39</v>
      </c>
      <c r="I13" s="2"/>
      <c r="J13" s="2"/>
      <c r="K13" s="7" t="n">
        <v>1</v>
      </c>
      <c r="L13" s="7" t="n">
        <v>0</v>
      </c>
      <c r="M13" s="7" t="n">
        <v>0</v>
      </c>
      <c r="N13" s="7" t="n">
        <v>4</v>
      </c>
      <c r="O13" s="7" t="n">
        <v>4</v>
      </c>
      <c r="P13" s="1" t="s">
        <v>28</v>
      </c>
      <c r="Q13" s="1" t="s">
        <v>29</v>
      </c>
      <c r="R13" s="2" t="s">
        <v>30</v>
      </c>
      <c r="S13" s="3"/>
      <c r="T13" s="3"/>
      <c r="U13" s="3"/>
      <c r="V13" s="3"/>
      <c r="W13" s="3"/>
      <c r="X13" s="3"/>
      <c r="Y13" s="3"/>
      <c r="Z13" s="3"/>
    </row>
    <row r="14" customFormat="false" ht="12.75" hidden="false" customHeight="false" outlineLevel="0" collapsed="false">
      <c r="A14" s="2"/>
      <c r="B14" s="1" t="s">
        <v>31</v>
      </c>
      <c r="C14" s="1" t="s">
        <v>32</v>
      </c>
      <c r="D14" s="6"/>
      <c r="E14" s="2"/>
      <c r="F14" s="2"/>
      <c r="G14" s="2"/>
      <c r="H14" s="2"/>
      <c r="I14" s="2"/>
      <c r="J14" s="2"/>
      <c r="K14" s="2"/>
      <c r="L14" s="2"/>
      <c r="M14" s="2"/>
      <c r="N14" s="2"/>
      <c r="O14" s="2"/>
      <c r="P14" s="2"/>
      <c r="Q14" s="2"/>
      <c r="R14" s="2"/>
      <c r="S14" s="3"/>
      <c r="T14" s="3"/>
      <c r="U14" s="3"/>
      <c r="V14" s="3"/>
      <c r="W14" s="3"/>
      <c r="X14" s="3"/>
      <c r="Y14" s="3"/>
      <c r="Z14" s="3"/>
    </row>
    <row r="15" customFormat="false" ht="12.75" hidden="false" customHeight="false" outlineLevel="0" collapsed="false">
      <c r="A15" s="2"/>
      <c r="B15" s="1" t="s">
        <v>33</v>
      </c>
      <c r="C15" s="1" t="s">
        <v>34</v>
      </c>
      <c r="D15" s="6"/>
      <c r="E15" s="2"/>
      <c r="F15" s="2"/>
      <c r="G15" s="2"/>
      <c r="H15" s="2"/>
      <c r="I15" s="2"/>
      <c r="J15" s="2"/>
      <c r="K15" s="2"/>
      <c r="L15" s="2"/>
      <c r="M15" s="2"/>
      <c r="N15" s="2"/>
      <c r="O15" s="2"/>
      <c r="P15" s="2"/>
      <c r="Q15" s="2"/>
      <c r="R15" s="2"/>
      <c r="S15" s="3"/>
      <c r="T15" s="3"/>
      <c r="U15" s="3"/>
      <c r="V15" s="3"/>
      <c r="W15" s="3"/>
      <c r="X15" s="3"/>
      <c r="Y15" s="3"/>
      <c r="Z15" s="3"/>
    </row>
    <row r="16" customFormat="false" ht="12.75" hidden="false" customHeight="false" outlineLevel="0" collapsed="false">
      <c r="A16" s="2"/>
      <c r="B16" s="1" t="s">
        <v>35</v>
      </c>
      <c r="C16" s="1" t="s">
        <v>36</v>
      </c>
      <c r="D16" s="6"/>
      <c r="E16" s="2"/>
      <c r="F16" s="2"/>
      <c r="G16" s="2"/>
      <c r="H16" s="2"/>
      <c r="I16" s="2"/>
      <c r="J16" s="2"/>
      <c r="K16" s="2"/>
      <c r="L16" s="2"/>
      <c r="M16" s="2"/>
      <c r="N16" s="2"/>
      <c r="O16" s="2"/>
      <c r="P16" s="2"/>
      <c r="Q16" s="2"/>
      <c r="R16" s="2"/>
      <c r="S16" s="3"/>
      <c r="T16" s="3"/>
      <c r="U16" s="3"/>
      <c r="V16" s="3"/>
      <c r="W16" s="3"/>
      <c r="X16" s="3"/>
      <c r="Y16" s="3"/>
      <c r="Z16" s="3"/>
    </row>
    <row r="17" customFormat="false" ht="12.75" hidden="false" customHeight="false" outlineLevel="0" collapsed="false">
      <c r="A17" s="1" t="s">
        <v>40</v>
      </c>
      <c r="B17" s="1" t="s">
        <v>41</v>
      </c>
      <c r="C17" s="2"/>
      <c r="D17" s="6" t="s">
        <v>20</v>
      </c>
      <c r="E17" s="2"/>
      <c r="F17" s="2"/>
      <c r="G17" s="2"/>
      <c r="H17" s="2"/>
      <c r="I17" s="2"/>
      <c r="J17" s="2"/>
      <c r="K17" s="2"/>
      <c r="L17" s="2"/>
      <c r="M17" s="2"/>
      <c r="N17" s="2"/>
      <c r="O17" s="2"/>
      <c r="P17" s="2"/>
      <c r="Q17" s="2"/>
      <c r="R17" s="2"/>
      <c r="S17" s="3"/>
      <c r="T17" s="3"/>
      <c r="U17" s="3"/>
      <c r="V17" s="3"/>
      <c r="W17" s="3"/>
      <c r="X17" s="3"/>
      <c r="Y17" s="3"/>
      <c r="Z17" s="3"/>
    </row>
    <row r="18" customFormat="false" ht="12.75" hidden="false" customHeight="false" outlineLevel="0" collapsed="false">
      <c r="A18" s="2"/>
      <c r="B18" s="1" t="s">
        <v>31</v>
      </c>
      <c r="C18" s="1" t="s">
        <v>42</v>
      </c>
      <c r="D18" s="6"/>
      <c r="E18" s="2"/>
      <c r="F18" s="2"/>
      <c r="G18" s="2"/>
      <c r="H18" s="1" t="s">
        <v>43</v>
      </c>
      <c r="I18" s="2"/>
      <c r="J18" s="2"/>
      <c r="K18" s="7" t="n">
        <v>1</v>
      </c>
      <c r="L18" s="7" t="n">
        <v>1</v>
      </c>
      <c r="M18" s="7" t="n">
        <v>0</v>
      </c>
      <c r="N18" s="7" t="n">
        <v>2</v>
      </c>
      <c r="O18" s="7" t="n">
        <v>4</v>
      </c>
      <c r="P18" s="1" t="s">
        <v>28</v>
      </c>
      <c r="Q18" s="1" t="s">
        <v>29</v>
      </c>
      <c r="R18" s="2" t="s">
        <v>30</v>
      </c>
      <c r="S18" s="3"/>
      <c r="T18" s="3"/>
      <c r="U18" s="3"/>
      <c r="V18" s="3"/>
      <c r="W18" s="3"/>
      <c r="X18" s="3"/>
      <c r="Y18" s="3"/>
      <c r="Z18" s="3"/>
    </row>
    <row r="19" customFormat="false" ht="12.75" hidden="false" customHeight="false" outlineLevel="0" collapsed="false">
      <c r="A19" s="2"/>
      <c r="B19" s="1" t="s">
        <v>33</v>
      </c>
      <c r="C19" s="1" t="s">
        <v>44</v>
      </c>
      <c r="D19" s="6"/>
      <c r="E19" s="2"/>
      <c r="F19" s="2"/>
      <c r="G19" s="2"/>
      <c r="H19" s="2"/>
      <c r="I19" s="2"/>
      <c r="J19" s="2"/>
      <c r="K19" s="2"/>
      <c r="L19" s="2"/>
      <c r="M19" s="2"/>
      <c r="N19" s="2"/>
      <c r="O19" s="2"/>
      <c r="P19" s="2"/>
      <c r="Q19" s="2"/>
      <c r="R19" s="2"/>
      <c r="S19" s="3"/>
      <c r="T19" s="3"/>
      <c r="U19" s="3"/>
      <c r="V19" s="3"/>
      <c r="W19" s="3"/>
      <c r="X19" s="3"/>
      <c r="Y19" s="3"/>
      <c r="Z19" s="3"/>
    </row>
    <row r="20" customFormat="false" ht="12.75" hidden="false" customHeight="false" outlineLevel="0" collapsed="false">
      <c r="A20" s="2"/>
      <c r="B20" s="1" t="s">
        <v>35</v>
      </c>
      <c r="C20" s="1" t="s">
        <v>36</v>
      </c>
      <c r="D20" s="6"/>
      <c r="E20" s="2"/>
      <c r="F20" s="2"/>
      <c r="G20" s="2"/>
      <c r="H20" s="2"/>
      <c r="I20" s="2"/>
      <c r="J20" s="2"/>
      <c r="K20" s="2"/>
      <c r="L20" s="2"/>
      <c r="M20" s="2"/>
      <c r="N20" s="2"/>
      <c r="O20" s="2"/>
      <c r="P20" s="2"/>
      <c r="Q20" s="2"/>
      <c r="R20" s="2"/>
      <c r="S20" s="3"/>
      <c r="T20" s="3"/>
      <c r="U20" s="3"/>
      <c r="V20" s="3"/>
      <c r="W20" s="3"/>
      <c r="X20" s="3"/>
      <c r="Y20" s="3"/>
      <c r="Z20" s="3"/>
    </row>
    <row r="21" customFormat="false" ht="12.75" hidden="false" customHeight="false" outlineLevel="0" collapsed="false">
      <c r="A21" s="2"/>
      <c r="B21" s="1" t="s">
        <v>45</v>
      </c>
      <c r="C21" s="1" t="s">
        <v>46</v>
      </c>
      <c r="D21" s="6"/>
      <c r="E21" s="2"/>
      <c r="F21" s="2"/>
      <c r="G21" s="2"/>
      <c r="H21" s="2"/>
      <c r="I21" s="2"/>
      <c r="J21" s="2"/>
      <c r="K21" s="7" t="n">
        <v>1</v>
      </c>
      <c r="L21" s="7" t="n">
        <v>1</v>
      </c>
      <c r="M21" s="7" t="n">
        <v>0</v>
      </c>
      <c r="N21" s="7" t="n">
        <v>8</v>
      </c>
      <c r="O21" s="7" t="n">
        <v>4</v>
      </c>
      <c r="P21" s="1" t="s">
        <v>28</v>
      </c>
      <c r="Q21" s="1" t="s">
        <v>29</v>
      </c>
      <c r="R21" s="2" t="s">
        <v>30</v>
      </c>
      <c r="S21" s="3"/>
      <c r="T21" s="3"/>
      <c r="U21" s="3"/>
      <c r="V21" s="3"/>
      <c r="W21" s="3"/>
      <c r="X21" s="3"/>
      <c r="Y21" s="3"/>
      <c r="Z21" s="3"/>
    </row>
    <row r="22" customFormat="false" ht="12.75" hidden="false" customHeight="false" outlineLevel="0" collapsed="false">
      <c r="A22" s="2"/>
      <c r="B22" s="1" t="s">
        <v>47</v>
      </c>
      <c r="C22" s="1" t="s">
        <v>48</v>
      </c>
      <c r="D22" s="6"/>
      <c r="E22" s="2"/>
      <c r="F22" s="2"/>
      <c r="G22" s="2"/>
      <c r="H22" s="2"/>
      <c r="I22" s="2"/>
      <c r="J22" s="2"/>
      <c r="K22" s="2"/>
      <c r="L22" s="2"/>
      <c r="M22" s="2"/>
      <c r="N22" s="2"/>
      <c r="O22" s="2"/>
      <c r="P22" s="2"/>
      <c r="Q22" s="2"/>
      <c r="R22" s="2"/>
      <c r="S22" s="3"/>
      <c r="T22" s="3"/>
      <c r="U22" s="3"/>
      <c r="V22" s="3"/>
      <c r="W22" s="3"/>
      <c r="X22" s="3"/>
      <c r="Y22" s="3"/>
      <c r="Z22" s="3"/>
    </row>
    <row r="23" customFormat="false" ht="12.75" hidden="false" customHeight="false" outlineLevel="0" collapsed="false">
      <c r="A23" s="2"/>
      <c r="B23" s="1" t="s">
        <v>49</v>
      </c>
      <c r="C23" s="1" t="s">
        <v>50</v>
      </c>
      <c r="D23" s="6"/>
      <c r="E23" s="2"/>
      <c r="F23" s="2"/>
      <c r="G23" s="2"/>
      <c r="H23" s="2"/>
      <c r="I23" s="2"/>
      <c r="J23" s="2"/>
      <c r="K23" s="2"/>
      <c r="L23" s="2"/>
      <c r="M23" s="2"/>
      <c r="N23" s="2"/>
      <c r="O23" s="2"/>
      <c r="P23" s="2"/>
      <c r="Q23" s="2"/>
      <c r="R23" s="2"/>
      <c r="S23" s="3"/>
      <c r="T23" s="3"/>
      <c r="U23" s="3"/>
      <c r="V23" s="3"/>
      <c r="W23" s="3"/>
      <c r="X23" s="3"/>
      <c r="Y23" s="3"/>
      <c r="Z23" s="3"/>
    </row>
    <row r="24" customFormat="false" ht="12.75" hidden="false" customHeight="false" outlineLevel="0" collapsed="false">
      <c r="A24" s="1" t="s">
        <v>51</v>
      </c>
      <c r="B24" s="1" t="s">
        <v>52</v>
      </c>
      <c r="C24" s="2"/>
      <c r="D24" s="6" t="s">
        <v>53</v>
      </c>
      <c r="E24" s="2"/>
      <c r="F24" s="2"/>
      <c r="G24" s="2"/>
      <c r="H24" s="2" t="s">
        <v>54</v>
      </c>
      <c r="I24" s="2"/>
      <c r="J24" s="2"/>
      <c r="K24" s="7" t="n">
        <v>0</v>
      </c>
      <c r="L24" s="7" t="n">
        <v>1</v>
      </c>
      <c r="M24" s="7" t="n">
        <v>0</v>
      </c>
      <c r="N24" s="7" t="n">
        <v>4</v>
      </c>
      <c r="O24" s="7" t="n">
        <v>4</v>
      </c>
      <c r="P24" s="1" t="s">
        <v>28</v>
      </c>
      <c r="Q24" s="1" t="s">
        <v>29</v>
      </c>
      <c r="R24" s="2" t="s">
        <v>30</v>
      </c>
      <c r="S24" s="3"/>
      <c r="T24" s="3"/>
      <c r="U24" s="3"/>
      <c r="V24" s="3"/>
      <c r="W24" s="3"/>
      <c r="X24" s="3"/>
      <c r="Y24" s="3"/>
      <c r="Z24" s="3"/>
    </row>
    <row r="25" customFormat="false" ht="12.75" hidden="false" customHeight="false" outlineLevel="0" collapsed="false">
      <c r="A25" s="2"/>
      <c r="B25" s="1" t="s">
        <v>31</v>
      </c>
      <c r="C25" s="1" t="s">
        <v>32</v>
      </c>
      <c r="D25" s="6"/>
      <c r="E25" s="2"/>
      <c r="F25" s="2"/>
      <c r="G25" s="2"/>
      <c r="H25" s="2"/>
      <c r="I25" s="2"/>
      <c r="J25" s="2"/>
      <c r="K25" s="2"/>
      <c r="L25" s="2"/>
      <c r="M25" s="2"/>
      <c r="N25" s="2"/>
      <c r="O25" s="2"/>
      <c r="P25" s="2"/>
      <c r="Q25" s="2"/>
      <c r="R25" s="2"/>
      <c r="S25" s="3"/>
      <c r="T25" s="3"/>
      <c r="U25" s="3"/>
      <c r="V25" s="3"/>
      <c r="W25" s="3"/>
      <c r="X25" s="3"/>
      <c r="Y25" s="3"/>
      <c r="Z25" s="3"/>
    </row>
    <row r="26" customFormat="false" ht="12.75" hidden="false" customHeight="false" outlineLevel="0" collapsed="false">
      <c r="A26" s="2"/>
      <c r="B26" s="1" t="s">
        <v>33</v>
      </c>
      <c r="C26" s="1" t="s">
        <v>34</v>
      </c>
      <c r="D26" s="6"/>
      <c r="E26" s="2"/>
      <c r="F26" s="2"/>
      <c r="G26" s="2"/>
      <c r="H26" s="2"/>
      <c r="I26" s="2"/>
      <c r="J26" s="2"/>
      <c r="K26" s="2"/>
      <c r="L26" s="2"/>
      <c r="M26" s="2"/>
      <c r="N26" s="2"/>
      <c r="O26" s="2"/>
      <c r="P26" s="2"/>
      <c r="Q26" s="2"/>
      <c r="R26" s="2"/>
      <c r="S26" s="3"/>
      <c r="T26" s="3"/>
      <c r="U26" s="3"/>
      <c r="V26" s="3"/>
      <c r="W26" s="3"/>
      <c r="X26" s="3"/>
      <c r="Y26" s="3"/>
      <c r="Z26" s="3"/>
    </row>
    <row r="27" customFormat="false" ht="12.75" hidden="false" customHeight="false" outlineLevel="0" collapsed="false">
      <c r="A27" s="2"/>
      <c r="B27" s="1" t="s">
        <v>35</v>
      </c>
      <c r="C27" s="1" t="s">
        <v>36</v>
      </c>
      <c r="D27" s="6"/>
      <c r="E27" s="2"/>
      <c r="F27" s="2"/>
      <c r="G27" s="2"/>
      <c r="H27" s="2"/>
      <c r="I27" s="2"/>
      <c r="J27" s="2"/>
      <c r="K27" s="2"/>
      <c r="L27" s="2"/>
      <c r="M27" s="2"/>
      <c r="N27" s="2"/>
      <c r="O27" s="2"/>
      <c r="P27" s="2"/>
      <c r="Q27" s="2"/>
      <c r="R27" s="2"/>
      <c r="S27" s="3"/>
      <c r="T27" s="3"/>
      <c r="U27" s="3"/>
      <c r="V27" s="3"/>
      <c r="W27" s="3"/>
      <c r="X27" s="3"/>
      <c r="Y27" s="3"/>
      <c r="Z27" s="3"/>
    </row>
    <row r="28" customFormat="false" ht="12.75" hidden="false" customHeight="false" outlineLevel="0" collapsed="false">
      <c r="A28" s="1" t="s">
        <v>55</v>
      </c>
      <c r="B28" s="1" t="s">
        <v>56</v>
      </c>
      <c r="C28" s="2"/>
      <c r="D28" s="6" t="s">
        <v>20</v>
      </c>
      <c r="E28" s="2"/>
      <c r="F28" s="2"/>
      <c r="G28" s="2"/>
      <c r="H28" s="1" t="s">
        <v>57</v>
      </c>
      <c r="I28" s="2"/>
      <c r="J28" s="2"/>
      <c r="K28" s="2"/>
      <c r="L28" s="2"/>
      <c r="M28" s="2"/>
      <c r="N28" s="2"/>
      <c r="O28" s="2"/>
      <c r="P28" s="2"/>
      <c r="Q28" s="2"/>
      <c r="R28" s="2"/>
      <c r="S28" s="3"/>
      <c r="T28" s="3"/>
      <c r="U28" s="3"/>
      <c r="V28" s="3"/>
      <c r="W28" s="3"/>
      <c r="X28" s="3"/>
      <c r="Y28" s="3"/>
      <c r="Z28" s="3"/>
    </row>
    <row r="29" customFormat="false" ht="12.75" hidden="false" customHeight="false" outlineLevel="0" collapsed="false">
      <c r="A29" s="2"/>
      <c r="B29" s="1" t="s">
        <v>31</v>
      </c>
      <c r="C29" s="1" t="s">
        <v>32</v>
      </c>
      <c r="D29" s="6"/>
      <c r="E29" s="2"/>
      <c r="F29" s="2"/>
      <c r="G29" s="2"/>
      <c r="H29" s="2"/>
      <c r="I29" s="2"/>
      <c r="J29" s="2"/>
      <c r="K29" s="7" t="n">
        <v>1</v>
      </c>
      <c r="L29" s="7" t="n">
        <v>1</v>
      </c>
      <c r="M29" s="7" t="n">
        <v>2000</v>
      </c>
      <c r="N29" s="7" t="n">
        <v>4</v>
      </c>
      <c r="O29" s="7" t="n">
        <v>4</v>
      </c>
      <c r="P29" s="1" t="s">
        <v>28</v>
      </c>
      <c r="Q29" s="1" t="s">
        <v>29</v>
      </c>
      <c r="R29" s="2" t="s">
        <v>30</v>
      </c>
      <c r="S29" s="3"/>
      <c r="T29" s="3"/>
      <c r="U29" s="3"/>
      <c r="V29" s="3"/>
      <c r="W29" s="3"/>
      <c r="X29" s="3"/>
      <c r="Y29" s="3"/>
      <c r="Z29" s="3"/>
    </row>
    <row r="30" customFormat="false" ht="12.75" hidden="false" customHeight="false" outlineLevel="0" collapsed="false">
      <c r="A30" s="2"/>
      <c r="B30" s="1" t="s">
        <v>33</v>
      </c>
      <c r="C30" s="1" t="s">
        <v>34</v>
      </c>
      <c r="D30" s="6"/>
      <c r="E30" s="2"/>
      <c r="F30" s="2"/>
      <c r="G30" s="2"/>
      <c r="H30" s="2"/>
      <c r="I30" s="2"/>
      <c r="J30" s="2"/>
      <c r="K30" s="2"/>
      <c r="L30" s="2"/>
      <c r="M30" s="2"/>
      <c r="N30" s="2"/>
      <c r="O30" s="2"/>
      <c r="P30" s="2"/>
      <c r="Q30" s="2"/>
      <c r="R30" s="2"/>
      <c r="S30" s="3"/>
      <c r="T30" s="3"/>
      <c r="U30" s="3"/>
      <c r="V30" s="3"/>
      <c r="W30" s="3"/>
      <c r="X30" s="3"/>
      <c r="Y30" s="3"/>
      <c r="Z30" s="3"/>
    </row>
    <row r="31" customFormat="false" ht="12.75" hidden="false" customHeight="false" outlineLevel="0" collapsed="false">
      <c r="A31" s="2"/>
      <c r="B31" s="1" t="s">
        <v>35</v>
      </c>
      <c r="C31" s="1" t="s">
        <v>36</v>
      </c>
      <c r="D31" s="6"/>
      <c r="E31" s="2"/>
      <c r="F31" s="2"/>
      <c r="G31" s="2"/>
      <c r="H31" s="2"/>
      <c r="I31" s="2"/>
      <c r="J31" s="2"/>
      <c r="K31" s="2"/>
      <c r="L31" s="2"/>
      <c r="M31" s="2"/>
      <c r="N31" s="2"/>
      <c r="O31" s="2"/>
      <c r="P31" s="2"/>
      <c r="Q31" s="2"/>
      <c r="R31" s="2"/>
      <c r="S31" s="3"/>
      <c r="T31" s="3"/>
      <c r="U31" s="3"/>
      <c r="V31" s="3"/>
      <c r="W31" s="3"/>
      <c r="X31" s="3"/>
      <c r="Y31" s="3"/>
      <c r="Z31" s="3"/>
    </row>
    <row r="32" customFormat="false" ht="12.75" hidden="false" customHeight="false" outlineLevel="0" collapsed="false">
      <c r="A32" s="2"/>
      <c r="B32" s="1" t="s">
        <v>45</v>
      </c>
      <c r="C32" s="1" t="s">
        <v>58</v>
      </c>
      <c r="D32" s="6"/>
      <c r="E32" s="2"/>
      <c r="F32" s="2"/>
      <c r="G32" s="2"/>
      <c r="H32" s="2"/>
      <c r="I32" s="2"/>
      <c r="J32" s="2"/>
      <c r="K32" s="7" t="n">
        <v>1</v>
      </c>
      <c r="L32" s="7" t="n">
        <v>1</v>
      </c>
      <c r="M32" s="7" t="n">
        <v>1000</v>
      </c>
      <c r="N32" s="7" t="n">
        <v>4</v>
      </c>
      <c r="O32" s="7" t="n">
        <v>4</v>
      </c>
      <c r="P32" s="1" t="s">
        <v>28</v>
      </c>
      <c r="Q32" s="1" t="s">
        <v>29</v>
      </c>
      <c r="R32" s="2" t="s">
        <v>30</v>
      </c>
      <c r="S32" s="3"/>
      <c r="T32" s="3"/>
      <c r="U32" s="3"/>
      <c r="V32" s="3"/>
      <c r="W32" s="3"/>
      <c r="X32" s="3"/>
      <c r="Y32" s="3"/>
      <c r="Z32" s="3"/>
    </row>
    <row r="33" customFormat="false" ht="12.75" hidden="false" customHeight="false" outlineLevel="0" collapsed="false">
      <c r="A33" s="2"/>
      <c r="B33" s="1" t="s">
        <v>47</v>
      </c>
      <c r="C33" s="1" t="s">
        <v>59</v>
      </c>
      <c r="D33" s="6"/>
      <c r="E33" s="2"/>
      <c r="F33" s="2"/>
      <c r="G33" s="2"/>
      <c r="H33" s="2"/>
      <c r="I33" s="2"/>
      <c r="J33" s="2"/>
      <c r="K33" s="2"/>
      <c r="L33" s="2"/>
      <c r="M33" s="2"/>
      <c r="N33" s="2"/>
      <c r="O33" s="2"/>
      <c r="P33" s="2"/>
      <c r="Q33" s="2"/>
      <c r="R33" s="2"/>
      <c r="S33" s="3"/>
      <c r="T33" s="3"/>
      <c r="U33" s="3"/>
      <c r="V33" s="3"/>
      <c r="W33" s="3"/>
      <c r="X33" s="3"/>
      <c r="Y33" s="3"/>
      <c r="Z33" s="3"/>
    </row>
    <row r="34" customFormat="false" ht="12.75" hidden="false" customHeight="false" outlineLevel="0" collapsed="false">
      <c r="A34" s="2"/>
      <c r="B34" s="1" t="s">
        <v>49</v>
      </c>
      <c r="C34" s="1" t="s">
        <v>50</v>
      </c>
      <c r="D34" s="6"/>
      <c r="E34" s="2"/>
      <c r="F34" s="2"/>
      <c r="G34" s="2"/>
      <c r="H34" s="2"/>
      <c r="I34" s="2"/>
      <c r="J34" s="2"/>
      <c r="K34" s="2"/>
      <c r="L34" s="2"/>
      <c r="M34" s="2"/>
      <c r="N34" s="2"/>
      <c r="O34" s="2"/>
      <c r="P34" s="2"/>
      <c r="Q34" s="2"/>
      <c r="R34" s="2"/>
      <c r="S34" s="3"/>
      <c r="T34" s="3"/>
      <c r="U34" s="3"/>
      <c r="V34" s="3"/>
      <c r="W34" s="3"/>
      <c r="X34" s="3"/>
      <c r="Y34" s="3"/>
      <c r="Z34" s="3"/>
    </row>
    <row r="35" customFormat="false" ht="12.75" hidden="false" customHeight="false" outlineLevel="0" collapsed="false">
      <c r="A35" s="1" t="s">
        <v>60</v>
      </c>
      <c r="B35" s="1" t="s">
        <v>61</v>
      </c>
      <c r="C35" s="2"/>
      <c r="D35" s="6" t="s">
        <v>53</v>
      </c>
      <c r="E35" s="2"/>
      <c r="F35" s="2"/>
      <c r="G35" s="2"/>
      <c r="H35" s="2" t="s">
        <v>62</v>
      </c>
      <c r="I35" s="2"/>
      <c r="J35" s="2"/>
      <c r="K35" s="7" t="n">
        <v>1</v>
      </c>
      <c r="L35" s="7" t="n">
        <v>1</v>
      </c>
      <c r="M35" s="7" t="n">
        <v>0</v>
      </c>
      <c r="N35" s="7" t="n">
        <v>4</v>
      </c>
      <c r="O35" s="7" t="n">
        <v>4</v>
      </c>
      <c r="P35" s="1" t="s">
        <v>28</v>
      </c>
      <c r="Q35" s="1" t="s">
        <v>29</v>
      </c>
      <c r="R35" s="2" t="s">
        <v>63</v>
      </c>
      <c r="S35" s="3"/>
      <c r="T35" s="3"/>
      <c r="U35" s="3"/>
      <c r="V35" s="3"/>
      <c r="W35" s="3"/>
      <c r="X35" s="3"/>
      <c r="Y35" s="3"/>
      <c r="Z35" s="3"/>
    </row>
    <row r="36" customFormat="false" ht="12.75" hidden="false" customHeight="false" outlineLevel="0" collapsed="false">
      <c r="A36" s="2"/>
      <c r="B36" s="1" t="s">
        <v>31</v>
      </c>
      <c r="C36" s="1" t="s">
        <v>64</v>
      </c>
      <c r="D36" s="6"/>
      <c r="E36" s="2"/>
      <c r="F36" s="2"/>
      <c r="G36" s="2"/>
      <c r="H36" s="2"/>
      <c r="I36" s="2"/>
      <c r="J36" s="2"/>
      <c r="K36" s="2"/>
      <c r="L36" s="2"/>
      <c r="M36" s="2"/>
      <c r="N36" s="2"/>
      <c r="O36" s="2"/>
      <c r="P36" s="2"/>
      <c r="Q36" s="2"/>
      <c r="R36" s="2"/>
      <c r="S36" s="3"/>
      <c r="T36" s="3"/>
      <c r="U36" s="3"/>
      <c r="V36" s="3"/>
      <c r="W36" s="3"/>
      <c r="X36" s="3"/>
      <c r="Y36" s="3"/>
      <c r="Z36" s="3"/>
    </row>
    <row r="37" customFormat="false" ht="12.75" hidden="false" customHeight="false" outlineLevel="0" collapsed="false">
      <c r="A37" s="2"/>
      <c r="B37" s="1" t="s">
        <v>33</v>
      </c>
      <c r="C37" s="1" t="s">
        <v>65</v>
      </c>
      <c r="D37" s="6"/>
      <c r="E37" s="2"/>
      <c r="F37" s="2"/>
      <c r="G37" s="2"/>
      <c r="H37" s="2"/>
      <c r="I37" s="2"/>
      <c r="J37" s="2"/>
      <c r="K37" s="2"/>
      <c r="L37" s="2"/>
      <c r="M37" s="2"/>
      <c r="N37" s="2"/>
      <c r="O37" s="2"/>
      <c r="P37" s="2"/>
      <c r="Q37" s="2"/>
      <c r="R37" s="2"/>
      <c r="S37" s="3"/>
      <c r="T37" s="3"/>
      <c r="U37" s="3"/>
      <c r="V37" s="3"/>
      <c r="W37" s="3"/>
      <c r="X37" s="3"/>
      <c r="Y37" s="3"/>
      <c r="Z37" s="3"/>
    </row>
    <row r="38" customFormat="false" ht="12.75" hidden="false" customHeight="false" outlineLevel="0" collapsed="false">
      <c r="A38" s="2"/>
      <c r="B38" s="1" t="s">
        <v>35</v>
      </c>
      <c r="C38" s="1" t="s">
        <v>36</v>
      </c>
      <c r="D38" s="6"/>
      <c r="E38" s="2"/>
      <c r="F38" s="2"/>
      <c r="G38" s="2"/>
      <c r="H38" s="2"/>
      <c r="I38" s="2"/>
      <c r="J38" s="2"/>
      <c r="S38" s="3"/>
      <c r="T38" s="3"/>
      <c r="U38" s="3"/>
      <c r="V38" s="3"/>
      <c r="W38" s="3"/>
      <c r="X38" s="3"/>
      <c r="Y38" s="3"/>
      <c r="Z38" s="3"/>
    </row>
    <row r="39" customFormat="false" ht="12.75" hidden="false" customHeight="false" outlineLevel="0" collapsed="false">
      <c r="A39" s="2"/>
      <c r="B39" s="1" t="s">
        <v>45</v>
      </c>
      <c r="C39" s="1" t="s">
        <v>66</v>
      </c>
      <c r="D39" s="6"/>
      <c r="E39" s="2"/>
      <c r="F39" s="2"/>
      <c r="G39" s="2"/>
      <c r="H39" s="2"/>
      <c r="I39" s="2"/>
      <c r="J39" s="2"/>
      <c r="K39" s="7" t="n">
        <v>1</v>
      </c>
      <c r="L39" s="7" t="n">
        <v>1</v>
      </c>
      <c r="M39" s="7" t="n">
        <v>0</v>
      </c>
      <c r="N39" s="7" t="n">
        <v>4</v>
      </c>
      <c r="O39" s="7" t="n">
        <v>4</v>
      </c>
      <c r="P39" s="1" t="s">
        <v>28</v>
      </c>
      <c r="Q39" s="1" t="s">
        <v>29</v>
      </c>
      <c r="R39" s="2" t="s">
        <v>67</v>
      </c>
      <c r="S39" s="3"/>
      <c r="T39" s="3"/>
      <c r="U39" s="3"/>
      <c r="V39" s="3"/>
      <c r="W39" s="3"/>
      <c r="X39" s="3"/>
      <c r="Y39" s="3"/>
      <c r="Z39" s="3"/>
    </row>
    <row r="40" customFormat="false" ht="12.75" hidden="false" customHeight="false" outlineLevel="0" collapsed="false">
      <c r="A40" s="2"/>
      <c r="B40" s="1" t="s">
        <v>47</v>
      </c>
      <c r="C40" s="1" t="s">
        <v>68</v>
      </c>
      <c r="D40" s="6"/>
      <c r="E40" s="2"/>
      <c r="F40" s="2"/>
      <c r="G40" s="2"/>
      <c r="H40" s="2"/>
      <c r="I40" s="2"/>
      <c r="J40" s="2"/>
      <c r="K40" s="2"/>
      <c r="L40" s="2"/>
      <c r="M40" s="2"/>
      <c r="N40" s="2"/>
      <c r="O40" s="2"/>
      <c r="P40" s="2"/>
      <c r="Q40" s="2"/>
      <c r="R40" s="2"/>
      <c r="S40" s="3"/>
      <c r="T40" s="3"/>
      <c r="U40" s="3"/>
      <c r="V40" s="3"/>
      <c r="W40" s="3"/>
      <c r="X40" s="3"/>
      <c r="Y40" s="3"/>
      <c r="Z40" s="3"/>
    </row>
    <row r="41" customFormat="false" ht="15.75" hidden="false" customHeight="true" outlineLevel="0" collapsed="false">
      <c r="A41" s="2"/>
      <c r="B41" s="1" t="s">
        <v>49</v>
      </c>
      <c r="C41" s="1" t="s">
        <v>50</v>
      </c>
      <c r="D41" s="6"/>
      <c r="E41" s="2"/>
      <c r="F41" s="2"/>
      <c r="G41" s="2"/>
      <c r="H41" s="2"/>
      <c r="I41" s="2"/>
      <c r="J41" s="2"/>
      <c r="K41" s="2"/>
      <c r="L41" s="2"/>
      <c r="M41" s="2"/>
      <c r="N41" s="2"/>
      <c r="O41" s="2"/>
      <c r="P41" s="2"/>
      <c r="Q41" s="2"/>
      <c r="R41" s="2"/>
      <c r="S41" s="3"/>
      <c r="T41" s="3"/>
      <c r="U41" s="3"/>
      <c r="V41" s="3"/>
      <c r="W41" s="3"/>
      <c r="X41" s="3"/>
      <c r="Y41" s="3"/>
      <c r="Z41" s="3"/>
    </row>
    <row r="42" customFormat="false" ht="12.75" hidden="false" customHeight="false" outlineLevel="0" collapsed="false">
      <c r="A42" s="1" t="s">
        <v>69</v>
      </c>
      <c r="B42" s="1" t="s">
        <v>70</v>
      </c>
      <c r="C42" s="1"/>
      <c r="D42" s="6" t="s">
        <v>53</v>
      </c>
      <c r="E42" s="2"/>
      <c r="F42" s="2"/>
      <c r="G42" s="2"/>
      <c r="H42" s="2" t="s">
        <v>71</v>
      </c>
      <c r="I42" s="2"/>
      <c r="J42" s="2"/>
      <c r="K42" s="7" t="n">
        <v>1</v>
      </c>
      <c r="L42" s="7" t="n">
        <v>1</v>
      </c>
      <c r="M42" s="7" t="n">
        <v>0</v>
      </c>
      <c r="N42" s="7" t="n">
        <v>4</v>
      </c>
      <c r="O42" s="7" t="n">
        <v>4</v>
      </c>
      <c r="P42" s="1" t="s">
        <v>28</v>
      </c>
      <c r="Q42" s="1" t="s">
        <v>29</v>
      </c>
      <c r="R42" s="2" t="s">
        <v>30</v>
      </c>
      <c r="S42" s="3"/>
      <c r="T42" s="3"/>
      <c r="U42" s="3"/>
      <c r="V42" s="3"/>
      <c r="W42" s="3"/>
      <c r="X42" s="3"/>
      <c r="Y42" s="3"/>
      <c r="Z42" s="3"/>
    </row>
    <row r="43" customFormat="false" ht="12.75" hidden="false" customHeight="false" outlineLevel="0" collapsed="false">
      <c r="A43" s="2"/>
      <c r="B43" s="1" t="s">
        <v>72</v>
      </c>
      <c r="C43" s="1" t="s">
        <v>73</v>
      </c>
      <c r="D43" s="6"/>
      <c r="E43" s="2"/>
      <c r="F43" s="2"/>
      <c r="G43" s="2"/>
      <c r="H43" s="2"/>
      <c r="I43" s="2"/>
      <c r="J43" s="2"/>
      <c r="K43" s="2"/>
      <c r="L43" s="2"/>
      <c r="M43" s="2"/>
      <c r="N43" s="2"/>
      <c r="O43" s="2"/>
      <c r="P43" s="2"/>
      <c r="Q43" s="2"/>
      <c r="R43" s="2"/>
      <c r="S43" s="3"/>
      <c r="T43" s="3"/>
      <c r="U43" s="3"/>
      <c r="V43" s="3"/>
      <c r="W43" s="3"/>
      <c r="X43" s="3"/>
      <c r="Y43" s="3"/>
      <c r="Z43" s="3"/>
    </row>
    <row r="44" customFormat="false" ht="12.75" hidden="false" customHeight="false" outlineLevel="0" collapsed="false">
      <c r="A44" s="2"/>
      <c r="B44" s="1" t="s">
        <v>74</v>
      </c>
      <c r="C44" s="1" t="s">
        <v>75</v>
      </c>
      <c r="D44" s="6"/>
      <c r="E44" s="2"/>
      <c r="F44" s="2"/>
      <c r="G44" s="2"/>
      <c r="H44" s="2"/>
      <c r="I44" s="2"/>
      <c r="J44" s="2"/>
      <c r="K44" s="2"/>
      <c r="L44" s="2"/>
      <c r="M44" s="2"/>
      <c r="N44" s="2"/>
      <c r="O44" s="2"/>
      <c r="P44" s="2"/>
      <c r="Q44" s="2"/>
      <c r="R44" s="2"/>
      <c r="S44" s="3"/>
      <c r="T44" s="3"/>
      <c r="U44" s="3"/>
      <c r="V44" s="3"/>
      <c r="W44" s="3"/>
      <c r="X44" s="3"/>
      <c r="Y44" s="3"/>
      <c r="Z44" s="3"/>
    </row>
    <row r="45" customFormat="false" ht="12.75" hidden="false" customHeight="false" outlineLevel="0" collapsed="false">
      <c r="A45" s="8" t="s">
        <v>76</v>
      </c>
      <c r="B45" s="8" t="s">
        <v>31</v>
      </c>
      <c r="C45" s="8" t="s">
        <v>77</v>
      </c>
      <c r="D45" s="9" t="s">
        <v>20</v>
      </c>
      <c r="E45" s="8"/>
      <c r="F45" s="8"/>
      <c r="G45" s="8"/>
      <c r="H45" s="8" t="s">
        <v>78</v>
      </c>
      <c r="I45" s="8"/>
      <c r="J45" s="8"/>
      <c r="K45" s="8"/>
      <c r="L45" s="8"/>
      <c r="M45" s="8"/>
      <c r="N45" s="8"/>
      <c r="O45" s="8"/>
      <c r="P45" s="8"/>
      <c r="Q45" s="8"/>
      <c r="R45" s="2"/>
      <c r="S45" s="3"/>
      <c r="T45" s="3"/>
      <c r="U45" s="3"/>
      <c r="V45" s="3"/>
      <c r="W45" s="3"/>
      <c r="X45" s="3"/>
      <c r="Y45" s="3"/>
      <c r="Z45" s="3"/>
    </row>
    <row r="46" customFormat="false" ht="12.75" hidden="false" customHeight="false" outlineLevel="0" collapsed="false">
      <c r="A46" s="8"/>
      <c r="B46" s="8" t="s">
        <v>33</v>
      </c>
      <c r="C46" s="8" t="s">
        <v>79</v>
      </c>
      <c r="D46" s="9"/>
      <c r="E46" s="8"/>
      <c r="F46" s="8"/>
      <c r="G46" s="8"/>
      <c r="H46" s="8"/>
      <c r="I46" s="8"/>
      <c r="J46" s="8"/>
      <c r="K46" s="8"/>
      <c r="L46" s="8"/>
      <c r="M46" s="8"/>
      <c r="N46" s="8"/>
      <c r="O46" s="8"/>
      <c r="P46" s="8"/>
      <c r="Q46" s="8"/>
      <c r="R46" s="2"/>
      <c r="S46" s="3"/>
      <c r="T46" s="3"/>
      <c r="U46" s="3"/>
      <c r="V46" s="3"/>
      <c r="W46" s="3"/>
      <c r="X46" s="3"/>
      <c r="Y46" s="3"/>
      <c r="Z46" s="3"/>
    </row>
    <row r="47" customFormat="false" ht="12.75" hidden="false" customHeight="false" outlineLevel="0" collapsed="false">
      <c r="A47" s="8"/>
      <c r="B47" s="8" t="s">
        <v>35</v>
      </c>
      <c r="C47" s="8" t="s">
        <v>80</v>
      </c>
      <c r="D47" s="9"/>
      <c r="E47" s="8"/>
      <c r="F47" s="8"/>
      <c r="G47" s="8"/>
      <c r="H47" s="8"/>
      <c r="I47" s="8"/>
      <c r="J47" s="8"/>
      <c r="K47" s="8"/>
      <c r="L47" s="8"/>
      <c r="M47" s="8"/>
      <c r="N47" s="8"/>
      <c r="O47" s="8"/>
      <c r="P47" s="8"/>
      <c r="Q47" s="8"/>
      <c r="R47" s="2"/>
      <c r="S47" s="3"/>
      <c r="T47" s="3"/>
      <c r="U47" s="3"/>
      <c r="V47" s="3"/>
      <c r="W47" s="3"/>
      <c r="X47" s="3"/>
      <c r="Y47" s="3"/>
      <c r="Z47" s="3"/>
    </row>
    <row r="48" customFormat="false" ht="12.75" hidden="false" customHeight="false" outlineLevel="0" collapsed="false">
      <c r="A48" s="8"/>
      <c r="B48" s="8" t="s">
        <v>45</v>
      </c>
      <c r="C48" s="8" t="s">
        <v>81</v>
      </c>
      <c r="D48" s="9"/>
      <c r="E48" s="8"/>
      <c r="F48" s="8"/>
      <c r="G48" s="8"/>
      <c r="H48" s="8"/>
      <c r="I48" s="8"/>
      <c r="J48" s="8"/>
      <c r="K48" s="8"/>
      <c r="L48" s="8"/>
      <c r="M48" s="8"/>
      <c r="N48" s="8"/>
      <c r="O48" s="8"/>
      <c r="P48" s="8"/>
      <c r="Q48" s="8"/>
      <c r="R48" s="2"/>
      <c r="S48" s="3"/>
      <c r="T48" s="3"/>
      <c r="U48" s="3"/>
      <c r="V48" s="3"/>
      <c r="W48" s="3"/>
      <c r="X48" s="3"/>
      <c r="Y48" s="3"/>
      <c r="Z48" s="3"/>
    </row>
    <row r="49" customFormat="false" ht="12.75" hidden="false" customHeight="false" outlineLevel="0" collapsed="false">
      <c r="A49" s="1" t="s">
        <v>82</v>
      </c>
      <c r="B49" s="2"/>
      <c r="C49" s="1" t="s">
        <v>83</v>
      </c>
      <c r="D49" s="5" t="s">
        <v>53</v>
      </c>
      <c r="E49" s="2"/>
      <c r="F49" s="2"/>
      <c r="G49" s="2"/>
      <c r="H49" s="2"/>
      <c r="I49" s="2"/>
      <c r="J49" s="2"/>
      <c r="K49" s="2"/>
      <c r="L49" s="2"/>
      <c r="M49" s="2"/>
      <c r="N49" s="2"/>
      <c r="O49" s="2"/>
      <c r="P49" s="2"/>
      <c r="Q49" s="2"/>
      <c r="R49" s="2"/>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D9:D12"/>
    <mergeCell ref="D13:D16"/>
    <mergeCell ref="D17:D23"/>
    <mergeCell ref="D24:D27"/>
    <mergeCell ref="D28:D34"/>
    <mergeCell ref="D35:D41"/>
    <mergeCell ref="D42:D44"/>
    <mergeCell ref="D45:D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G27" activeCellId="0" sqref="G27"/>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123</v>
      </c>
    </row>
    <row r="3" customFormat="false" ht="15.75" hidden="false" customHeight="true" outlineLevel="0" collapsed="false">
      <c r="A3" s="10" t="str">
        <f aca="false">CONCATENATE("Title: Changes in average volatility due to measured changes in trade barriers, alternative calibrations (",_xlfn.UNICHAR(963), " = 0.5 and ",_xlfn.UNICHAR(963), " = 2)")</f>
        <v>Title: Changes in average volatility due to measured changes in trade barriers, alternative calibrations (σ = 0.5 and σ = 2)</v>
      </c>
    </row>
    <row r="5" customFormat="false" ht="15.75" hidden="false" customHeight="true" outlineLevel="0" collapsed="false">
      <c r="B5" s="30" t="str">
        <f aca="false">CONCATENATE(_xlfn.UNICHAR(963)," = 0.5")</f>
        <v>σ = 0.5</v>
      </c>
      <c r="C5" s="30"/>
      <c r="D5" s="30"/>
      <c r="E5" s="30" t="str">
        <f aca="false">CONCATENATE(_xlfn.UNICHAR(963)," = 2")</f>
        <v>σ = 2</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[29]output_table!F2/100</f>
        <v>-0.00871995016938059</v>
      </c>
      <c r="C7" s="18" t="n">
        <f aca="false">[29]output_table!G2/100</f>
        <v>-0.0478527761838807</v>
      </c>
      <c r="D7" s="19" t="n">
        <f aca="false">[29]output_table!H2/100</f>
        <v>0.0391328260145002</v>
      </c>
      <c r="E7" s="17" t="n">
        <f aca="false">[30]output_table!F2/100</f>
        <v>-0.0723492731217544</v>
      </c>
      <c r="F7" s="18" t="n">
        <f aca="false">[30]output_table!G2/100</f>
        <v>0.237645038137774</v>
      </c>
      <c r="G7" s="19" t="n">
        <f aca="false">[30]output_table!H2/100</f>
        <v>-0.309994311259528</v>
      </c>
    </row>
    <row r="8" customFormat="false" ht="15.75" hidden="false" customHeight="true" outlineLevel="0" collapsed="false">
      <c r="A8" s="20" t="s">
        <v>92</v>
      </c>
      <c r="B8" s="21" t="n">
        <f aca="false">[29]output_table!F3/100</f>
        <v>-0.244374821423859</v>
      </c>
      <c r="C8" s="22" t="n">
        <f aca="false">[29]output_table!G3/100</f>
        <v>-0.543372392480144</v>
      </c>
      <c r="D8" s="23" t="n">
        <f aca="false">[29]output_table!H3/100</f>
        <v>0.298997571056286</v>
      </c>
      <c r="E8" s="21" t="n">
        <f aca="false">[30]output_table!F3/100</f>
        <v>-0.228230753231275</v>
      </c>
      <c r="F8" s="22" t="n">
        <f aca="false">[30]output_table!G3/100</f>
        <v>0.156385428602272</v>
      </c>
      <c r="G8" s="23" t="n">
        <f aca="false">[30]output_table!H3/100</f>
        <v>-0.384616181833547</v>
      </c>
    </row>
    <row r="9" customFormat="false" ht="15.75" hidden="false" customHeight="true" outlineLevel="0" collapsed="false">
      <c r="A9" s="20" t="s">
        <v>93</v>
      </c>
      <c r="B9" s="21" t="n">
        <f aca="false">[29]output_table!F4/100</f>
        <v>-0.519067343614722</v>
      </c>
      <c r="C9" s="22" t="n">
        <f aca="false">[29]output_table!G4/100</f>
        <v>-1.20014431542971</v>
      </c>
      <c r="D9" s="23" t="n">
        <f aca="false">[29]output_table!H4/100</f>
        <v>0.681076971814993</v>
      </c>
      <c r="E9" s="21" t="n">
        <f aca="false">[30]output_table!F4/100</f>
        <v>-0.77417062133289</v>
      </c>
      <c r="F9" s="22" t="n">
        <f aca="false">[30]output_table!G4/100</f>
        <v>0.376039161400117</v>
      </c>
      <c r="G9" s="23" t="n">
        <f aca="false">[30]output_table!H4/100</f>
        <v>-1.15020978273301</v>
      </c>
    </row>
    <row r="10" customFormat="false" ht="15.75" hidden="false" customHeight="true" outlineLevel="0" collapsed="false">
      <c r="A10" s="20" t="s">
        <v>94</v>
      </c>
      <c r="B10" s="21" t="n">
        <f aca="false">[29]output_table!F5/100</f>
        <v>-0.580690718007581</v>
      </c>
      <c r="C10" s="22" t="n">
        <f aca="false">[29]output_table!G5/100</f>
        <v>-0.799086805784265</v>
      </c>
      <c r="D10" s="23" t="n">
        <f aca="false">[29]output_table!H5/100</f>
        <v>0.218396087776684</v>
      </c>
      <c r="E10" s="21" t="n">
        <f aca="false">[30]output_table!F5/100</f>
        <v>-0.813742436866602</v>
      </c>
      <c r="F10" s="22" t="n">
        <f aca="false">[30]output_table!G5/100</f>
        <v>-1.14810123085594</v>
      </c>
      <c r="G10" s="23" t="n">
        <f aca="false">[30]output_table!H5/100</f>
        <v>0.334358793989334</v>
      </c>
    </row>
    <row r="11" customFormat="false" ht="15.75" hidden="false" customHeight="true" outlineLevel="0" collapsed="false">
      <c r="A11" s="20" t="s">
        <v>95</v>
      </c>
      <c r="B11" s="21" t="n">
        <f aca="false">[29]output_table!F6/100</f>
        <v>0.00148798216700991</v>
      </c>
      <c r="C11" s="22" t="n">
        <f aca="false">[29]output_table!G6/100</f>
        <v>-0.00517503332565823</v>
      </c>
      <c r="D11" s="23" t="n">
        <f aca="false">[29]output_table!H6/100</f>
        <v>0.00666301549266814</v>
      </c>
      <c r="E11" s="21" t="n">
        <f aca="false">[30]output_table!F6/100</f>
        <v>-0.00227964164184585</v>
      </c>
      <c r="F11" s="22" t="n">
        <f aca="false">[30]output_table!G6/100</f>
        <v>0.0188861176725159</v>
      </c>
      <c r="G11" s="23" t="n">
        <f aca="false">[30]output_table!H6/100</f>
        <v>-0.0211657593143618</v>
      </c>
    </row>
    <row r="12" customFormat="false" ht="15.75" hidden="false" customHeight="true" outlineLevel="0" collapsed="false">
      <c r="A12" s="20" t="s">
        <v>96</v>
      </c>
      <c r="B12" s="21" t="n">
        <f aca="false">[29]output_table!F7/100</f>
        <v>-0.142564850715132</v>
      </c>
      <c r="C12" s="22" t="n">
        <f aca="false">[29]output_table!G7/100</f>
        <v>-0.530229168922839</v>
      </c>
      <c r="D12" s="23" t="n">
        <f aca="false">[29]output_table!H7/100</f>
        <v>0.387664318207707</v>
      </c>
      <c r="E12" s="21" t="n">
        <f aca="false">[30]output_table!F7/100</f>
        <v>-0.603481275834134</v>
      </c>
      <c r="F12" s="22" t="n">
        <f aca="false">[30]output_table!G7/100</f>
        <v>-0.424098633842026</v>
      </c>
      <c r="G12" s="23" t="n">
        <f aca="false">[30]output_table!H7/100</f>
        <v>-0.179382641992108</v>
      </c>
    </row>
    <row r="13" customFormat="false" ht="15.75" hidden="false" customHeight="true" outlineLevel="0" collapsed="false">
      <c r="A13" s="20" t="s">
        <v>97</v>
      </c>
      <c r="B13" s="21" t="n">
        <f aca="false">[29]output_table!F8/100</f>
        <v>-0.492452883411108</v>
      </c>
      <c r="C13" s="22" t="n">
        <f aca="false">[29]output_table!G8/100</f>
        <v>-0.37966738886339</v>
      </c>
      <c r="D13" s="23" t="n">
        <f aca="false">[29]output_table!H8/100</f>
        <v>-0.112785494547718</v>
      </c>
      <c r="E13" s="21" t="n">
        <f aca="false">[30]output_table!F8/100</f>
        <v>-0.805623863063795</v>
      </c>
      <c r="F13" s="22" t="n">
        <f aca="false">[30]output_table!G8/100</f>
        <v>0.222387408478649</v>
      </c>
      <c r="G13" s="23" t="n">
        <f aca="false">[30]output_table!H8/100</f>
        <v>-1.02801127154244</v>
      </c>
    </row>
    <row r="14" customFormat="false" ht="15.75" hidden="false" customHeight="true" outlineLevel="0" collapsed="false">
      <c r="A14" s="20" t="s">
        <v>98</v>
      </c>
      <c r="B14" s="21" t="n">
        <f aca="false">[29]output_table!F9/100</f>
        <v>-0.277226086616764</v>
      </c>
      <c r="C14" s="22" t="n">
        <f aca="false">[29]output_table!G9/100</f>
        <v>-0.545526515343252</v>
      </c>
      <c r="D14" s="23" t="n">
        <f aca="false">[29]output_table!H9/100</f>
        <v>0.268300428726488</v>
      </c>
      <c r="E14" s="21" t="n">
        <f aca="false">[30]output_table!F9/100</f>
        <v>-0.102549710959205</v>
      </c>
      <c r="F14" s="22" t="n">
        <f aca="false">[30]output_table!G9/100</f>
        <v>-0.0219850232691694</v>
      </c>
      <c r="G14" s="23" t="n">
        <f aca="false">[30]output_table!H9/100</f>
        <v>-0.0805646876900356</v>
      </c>
    </row>
    <row r="15" customFormat="false" ht="15.75" hidden="false" customHeight="true" outlineLevel="0" collapsed="false">
      <c r="A15" s="20" t="s">
        <v>99</v>
      </c>
      <c r="B15" s="21" t="n">
        <f aca="false">[29]output_table!F10/100</f>
        <v>-0.113835253898429</v>
      </c>
      <c r="C15" s="22" t="n">
        <f aca="false">[29]output_table!G10/100</f>
        <v>0.0410072534058516</v>
      </c>
      <c r="D15" s="23" t="n">
        <f aca="false">[29]output_table!H10/100</f>
        <v>-0.15484250730428</v>
      </c>
      <c r="E15" s="21" t="n">
        <f aca="false">[30]output_table!F10/100</f>
        <v>0.199010897848067</v>
      </c>
      <c r="F15" s="22" t="n">
        <f aca="false">[30]output_table!G10/100</f>
        <v>0.837714983171599</v>
      </c>
      <c r="G15" s="23" t="n">
        <f aca="false">[30]output_table!H10/100</f>
        <v>-0.638704085323531</v>
      </c>
    </row>
    <row r="16" customFormat="false" ht="15.75" hidden="false" customHeight="true" outlineLevel="0" collapsed="false">
      <c r="A16" s="20" t="s">
        <v>100</v>
      </c>
      <c r="B16" s="21" t="n">
        <f aca="false">[29]output_table!F11/100</f>
        <v>-0.193471852953465</v>
      </c>
      <c r="C16" s="22" t="n">
        <f aca="false">[29]output_table!G11/100</f>
        <v>-0.255467838279911</v>
      </c>
      <c r="D16" s="23" t="n">
        <f aca="false">[29]output_table!H11/100</f>
        <v>0.0619959853264459</v>
      </c>
      <c r="E16" s="21" t="n">
        <f aca="false">[30]output_table!F11/100</f>
        <v>1.57632433295042</v>
      </c>
      <c r="F16" s="22" t="n">
        <f aca="false">[30]output_table!G11/100</f>
        <v>0.479272941067823</v>
      </c>
      <c r="G16" s="23" t="n">
        <f aca="false">[30]output_table!H11/100</f>
        <v>1.0970513918826</v>
      </c>
    </row>
    <row r="17" customFormat="false" ht="15.75" hidden="false" customHeight="true" outlineLevel="0" collapsed="false">
      <c r="A17" s="20" t="s">
        <v>101</v>
      </c>
      <c r="B17" s="21" t="n">
        <f aca="false">[29]output_table!F12/100</f>
        <v>-0.196861749866989</v>
      </c>
      <c r="C17" s="22" t="n">
        <f aca="false">[29]output_table!G12/100</f>
        <v>-0.0233002931491005</v>
      </c>
      <c r="D17" s="23" t="n">
        <f aca="false">[29]output_table!H12/100</f>
        <v>-0.173561456717888</v>
      </c>
      <c r="E17" s="21" t="n">
        <f aca="false">[30]output_table!F12/100</f>
        <v>-0.158048493772097</v>
      </c>
      <c r="F17" s="22" t="n">
        <f aca="false">[30]output_table!G12/100</f>
        <v>0.196454646122422</v>
      </c>
      <c r="G17" s="23" t="n">
        <f aca="false">[30]output_table!H12/100</f>
        <v>-0.354503139894518</v>
      </c>
    </row>
    <row r="18" customFormat="false" ht="15.75" hidden="false" customHeight="true" outlineLevel="0" collapsed="false">
      <c r="A18" s="20" t="s">
        <v>102</v>
      </c>
      <c r="B18" s="21" t="n">
        <f aca="false">[29]output_table!F13/100</f>
        <v>-0.174660605201418</v>
      </c>
      <c r="C18" s="22" t="n">
        <f aca="false">[29]output_table!G13/100</f>
        <v>-0.0636371613876475</v>
      </c>
      <c r="D18" s="23" t="n">
        <f aca="false">[29]output_table!H13/100</f>
        <v>-0.11102344381377</v>
      </c>
      <c r="E18" s="21" t="n">
        <f aca="false">[30]output_table!F13/100</f>
        <v>-0.0749476493598397</v>
      </c>
      <c r="F18" s="22" t="n">
        <f aca="false">[30]output_table!G13/100</f>
        <v>-0.00779280541311926</v>
      </c>
      <c r="G18" s="23" t="n">
        <f aca="false">[30]output_table!H13/100</f>
        <v>-0.0671548439467204</v>
      </c>
    </row>
    <row r="19" customFormat="false" ht="15.75" hidden="false" customHeight="true" outlineLevel="0" collapsed="false">
      <c r="A19" s="20" t="s">
        <v>103</v>
      </c>
      <c r="B19" s="21" t="n">
        <f aca="false">[29]output_table!F14/100</f>
        <v>-0.423678389613345</v>
      </c>
      <c r="C19" s="22" t="n">
        <f aca="false">[29]output_table!G14/100</f>
        <v>-0.509302170187423</v>
      </c>
      <c r="D19" s="23" t="n">
        <f aca="false">[29]output_table!H14/100</f>
        <v>0.0856237805740784</v>
      </c>
      <c r="E19" s="21" t="n">
        <f aca="false">[30]output_table!F14/100</f>
        <v>-0.315300992401331</v>
      </c>
      <c r="F19" s="22" t="n">
        <f aca="false">[30]output_table!G14/100</f>
        <v>-0.237501064971338</v>
      </c>
      <c r="G19" s="23" t="n">
        <f aca="false">[30]output_table!H14/100</f>
        <v>-0.0777999274299929</v>
      </c>
    </row>
    <row r="20" customFormat="false" ht="15.75" hidden="false" customHeight="true" outlineLevel="0" collapsed="false">
      <c r="A20" s="20" t="s">
        <v>104</v>
      </c>
      <c r="B20" s="21" t="n">
        <f aca="false">[29]output_table!F15/100</f>
        <v>-0.106176015864681</v>
      </c>
      <c r="C20" s="22" t="n">
        <f aca="false">[29]output_table!G15/100</f>
        <v>0.0304484286407378</v>
      </c>
      <c r="D20" s="23" t="n">
        <f aca="false">[29]output_table!H15/100</f>
        <v>-0.136624444505419</v>
      </c>
      <c r="E20" s="21" t="n">
        <f aca="false">[30]output_table!F15/100</f>
        <v>-0.0549753947063335</v>
      </c>
      <c r="F20" s="22" t="n">
        <f aca="false">[30]output_table!G15/100</f>
        <v>0.65937894183685</v>
      </c>
      <c r="G20" s="23" t="n">
        <f aca="false">[30]output_table!H15/100</f>
        <v>-0.714354336543184</v>
      </c>
    </row>
    <row r="21" customFormat="false" ht="15.75" hidden="false" customHeight="true" outlineLevel="0" collapsed="false">
      <c r="A21" s="20" t="s">
        <v>105</v>
      </c>
      <c r="B21" s="21" t="n">
        <f aca="false">[29]output_table!F16/100</f>
        <v>0.0296940293156509</v>
      </c>
      <c r="C21" s="22" t="n">
        <f aca="false">[29]output_table!G16/100</f>
        <v>0.00754191321264443</v>
      </c>
      <c r="D21" s="23" t="n">
        <f aca="false">[29]output_table!H16/100</f>
        <v>0.0221521161030064</v>
      </c>
      <c r="E21" s="21" t="n">
        <f aca="false">[30]output_table!F16/100</f>
        <v>0.079719948086892</v>
      </c>
      <c r="F21" s="22" t="n">
        <f aca="false">[30]output_table!G16/100</f>
        <v>0.173708435483298</v>
      </c>
      <c r="G21" s="23" t="n">
        <f aca="false">[30]output_table!H16/100</f>
        <v>-0.0939884873964065</v>
      </c>
    </row>
    <row r="22" customFormat="false" ht="15.75" hidden="false" customHeight="true" outlineLevel="0" collapsed="false">
      <c r="A22" s="20" t="s">
        <v>106</v>
      </c>
      <c r="B22" s="21" t="n">
        <f aca="false">[29]output_table!F17/100</f>
        <v>-0.467974722117531</v>
      </c>
      <c r="C22" s="22" t="n">
        <f aca="false">[29]output_table!G17/100</f>
        <v>-0.578010968696742</v>
      </c>
      <c r="D22" s="23" t="n">
        <f aca="false">[29]output_table!H17/100</f>
        <v>0.110036246579211</v>
      </c>
      <c r="E22" s="21" t="n">
        <f aca="false">[30]output_table!F17/100</f>
        <v>-0.331043806473291</v>
      </c>
      <c r="F22" s="22" t="n">
        <f aca="false">[30]output_table!G17/100</f>
        <v>-0.655061779791485</v>
      </c>
      <c r="G22" s="23" t="n">
        <f aca="false">[30]output_table!H17/100</f>
        <v>0.324017973318194</v>
      </c>
    </row>
    <row r="23" customFormat="false" ht="15.75" hidden="false" customHeight="true" outlineLevel="0" collapsed="false">
      <c r="A23" s="20" t="s">
        <v>107</v>
      </c>
      <c r="B23" s="21" t="n">
        <f aca="false">[29]output_table!F18/100</f>
        <v>-0.398552026477866</v>
      </c>
      <c r="C23" s="22" t="n">
        <f aca="false">[29]output_table!G18/100</f>
        <v>-0.912143662445799</v>
      </c>
      <c r="D23" s="23" t="n">
        <f aca="false">[29]output_table!H18/100</f>
        <v>0.513591635967933</v>
      </c>
      <c r="E23" s="21" t="n">
        <f aca="false">[30]output_table!F18/100</f>
        <v>-0.347105652883372</v>
      </c>
      <c r="F23" s="22" t="n">
        <f aca="false">[30]output_table!G18/100</f>
        <v>-0.188868133215729</v>
      </c>
      <c r="G23" s="23" t="n">
        <f aca="false">[30]output_table!H18/100</f>
        <v>-0.158237519667643</v>
      </c>
    </row>
    <row r="24" customFormat="false" ht="15.75" hidden="false" customHeight="true" outlineLevel="0" collapsed="false">
      <c r="A24" s="20" t="s">
        <v>108</v>
      </c>
      <c r="B24" s="21" t="n">
        <f aca="false">[29]output_table!F19/100</f>
        <v>-0.205316753152855</v>
      </c>
      <c r="C24" s="22" t="n">
        <f aca="false">[29]output_table!G19/100</f>
        <v>-0.889409467706447</v>
      </c>
      <c r="D24" s="23" t="n">
        <f aca="false">[29]output_table!H19/100</f>
        <v>0.684092714553592</v>
      </c>
      <c r="E24" s="21" t="n">
        <f aca="false">[30]output_table!F19/100</f>
        <v>-0.382826257083383</v>
      </c>
      <c r="F24" s="22" t="n">
        <f aca="false">[30]output_table!G19/100</f>
        <v>-0.377981614204648</v>
      </c>
      <c r="G24" s="23" t="n">
        <f aca="false">[30]output_table!H19/100</f>
        <v>-0.00484464287873454</v>
      </c>
    </row>
    <row r="25" customFormat="false" ht="15.75" hidden="false" customHeight="true" outlineLevel="0" collapsed="false">
      <c r="A25" s="20" t="s">
        <v>109</v>
      </c>
      <c r="B25" s="21" t="n">
        <f aca="false">[29]output_table!F20/100</f>
        <v>-0.0448722535326793</v>
      </c>
      <c r="C25" s="22" t="n">
        <f aca="false">[29]output_table!G20/100</f>
        <v>-0.496369095325512</v>
      </c>
      <c r="D25" s="23" t="n">
        <f aca="false">[29]output_table!H20/100</f>
        <v>0.451496841792833</v>
      </c>
      <c r="E25" s="21" t="n">
        <f aca="false">[30]output_table!F20/100</f>
        <v>-0.0582872078297532</v>
      </c>
      <c r="F25" s="22" t="n">
        <f aca="false">[30]output_table!G20/100</f>
        <v>1.6623371979197</v>
      </c>
      <c r="G25" s="23" t="n">
        <f aca="false">[30]output_table!H20/100</f>
        <v>-1.72062440574945</v>
      </c>
    </row>
    <row r="26" customFormat="false" ht="15.75" hidden="false" customHeight="true" outlineLevel="0" collapsed="false">
      <c r="A26" s="20" t="s">
        <v>110</v>
      </c>
      <c r="B26" s="21" t="n">
        <f aca="false">[29]output_table!F21/100</f>
        <v>0.0242106592073112</v>
      </c>
      <c r="C26" s="22" t="n">
        <f aca="false">[29]output_table!G21/100</f>
        <v>-0.0458193011121156</v>
      </c>
      <c r="D26" s="23" t="n">
        <f aca="false">[29]output_table!H21/100</f>
        <v>0.0700299603194268</v>
      </c>
      <c r="E26" s="21" t="n">
        <f aca="false">[30]output_table!F21/100</f>
        <v>0.0264858142588495</v>
      </c>
      <c r="F26" s="22" t="n">
        <f aca="false">[30]output_table!G21/100</f>
        <v>0.106312081109899</v>
      </c>
      <c r="G26" s="23" t="n">
        <f aca="false">[30]output_table!H21/100</f>
        <v>-0.0798262668510493</v>
      </c>
    </row>
    <row r="27" customFormat="false" ht="15.75" hidden="false" customHeight="true" outlineLevel="0" collapsed="false">
      <c r="A27" s="20" t="s">
        <v>111</v>
      </c>
      <c r="B27" s="21" t="n">
        <f aca="false">[29]output_table!F22/100</f>
        <v>-0.0145737451200485</v>
      </c>
      <c r="C27" s="22" t="n">
        <f aca="false">[29]output_table!G22/100</f>
        <v>-0.0798375863200927</v>
      </c>
      <c r="D27" s="23" t="n">
        <f aca="false">[29]output_table!H22/100</f>
        <v>0.0652638412000442</v>
      </c>
      <c r="E27" s="21" t="n">
        <f aca="false">[30]output_table!F22/100</f>
        <v>0.792225852507143</v>
      </c>
      <c r="F27" s="22" t="n">
        <f aca="false">[30]output_table!G22/100</f>
        <v>0.807671138129608</v>
      </c>
      <c r="G27" s="23" t="n">
        <f aca="false">[30]output_table!H22/100</f>
        <v>-0.0154452856224645</v>
      </c>
    </row>
    <row r="28" customFormat="false" ht="15.75" hidden="false" customHeight="true" outlineLevel="0" collapsed="false">
      <c r="A28" s="20" t="s">
        <v>112</v>
      </c>
      <c r="B28" s="21" t="n">
        <f aca="false">[29]output_table!F23/100</f>
        <v>-0.380717854226395</v>
      </c>
      <c r="C28" s="22" t="n">
        <f aca="false">[29]output_table!G23/100</f>
        <v>-0.245862184231078</v>
      </c>
      <c r="D28" s="23" t="n">
        <f aca="false">[29]output_table!H23/100</f>
        <v>-0.134855669995317</v>
      </c>
      <c r="E28" s="21" t="n">
        <f aca="false">[30]output_table!F23/100</f>
        <v>-0.533366574083791</v>
      </c>
      <c r="F28" s="22" t="n">
        <f aca="false">[30]output_table!G23/100</f>
        <v>0.339166529569355</v>
      </c>
      <c r="G28" s="23" t="n">
        <f aca="false">[30]output_table!H23/100</f>
        <v>-0.872533103653146</v>
      </c>
    </row>
    <row r="29" customFormat="false" ht="15.75" hidden="false" customHeight="true" outlineLevel="0" collapsed="false">
      <c r="A29" s="20" t="s">
        <v>113</v>
      </c>
      <c r="B29" s="21" t="n">
        <f aca="false">[29]output_table!F24/100</f>
        <v>-0.307753648851186</v>
      </c>
      <c r="C29" s="22" t="n">
        <f aca="false">[29]output_table!G24/100</f>
        <v>-0.356293815819547</v>
      </c>
      <c r="D29" s="23" t="n">
        <f aca="false">[29]output_table!H24/100</f>
        <v>0.0485401669683606</v>
      </c>
      <c r="E29" s="21" t="n">
        <f aca="false">[30]output_table!F24/100</f>
        <v>0.340016562998975</v>
      </c>
      <c r="F29" s="22" t="n">
        <f aca="false">[30]output_table!G24/100</f>
        <v>0.465582311452327</v>
      </c>
      <c r="G29" s="23" t="n">
        <f aca="false">[30]output_table!H24/100</f>
        <v>-0.125565748453352</v>
      </c>
    </row>
    <row r="30" customFormat="false" ht="15.75" hidden="false" customHeight="true" outlineLevel="0" collapsed="false">
      <c r="A30" s="20" t="s">
        <v>114</v>
      </c>
      <c r="B30" s="21" t="n">
        <f aca="false">[29]output_table!F25/100</f>
        <v>-0.282944435893703</v>
      </c>
      <c r="C30" s="22" t="n">
        <f aca="false">[29]output_table!G25/100</f>
        <v>-0.209917282784647</v>
      </c>
      <c r="D30" s="23" t="n">
        <f aca="false">[29]output_table!H25/100</f>
        <v>-0.0730271531090558</v>
      </c>
      <c r="E30" s="21" t="n">
        <f aca="false">[30]output_table!F25/100</f>
        <v>-0.00387560202024685</v>
      </c>
      <c r="F30" s="22" t="n">
        <f aca="false">[30]output_table!G25/100</f>
        <v>1.14323422022419</v>
      </c>
      <c r="G30" s="23" t="n">
        <f aca="false">[30]output_table!H25/100</f>
        <v>-1.14710982224443</v>
      </c>
    </row>
    <row r="31" customFormat="false" ht="15.75" hidden="false" customHeight="true" outlineLevel="0" collapsed="false">
      <c r="A31" s="24" t="s">
        <v>115</v>
      </c>
      <c r="B31" s="25" t="n">
        <f aca="false">[29]output_table!F26/100</f>
        <v>0.00274887888504036</v>
      </c>
      <c r="C31" s="26" t="n">
        <f aca="false">[29]output_table!G26/100</f>
        <v>0.00483104676231486</v>
      </c>
      <c r="D31" s="27" t="n">
        <f aca="false">[29]output_table!H26/100</f>
        <v>-0.0020821678772745</v>
      </c>
      <c r="E31" s="25" t="n">
        <f aca="false">[30]output_table!F26/100</f>
        <v>0.210206312128304</v>
      </c>
      <c r="F31" s="26" t="n">
        <f aca="false">[30]output_table!G26/100</f>
        <v>0.359960903355552</v>
      </c>
      <c r="G31" s="27" t="n">
        <f aca="false">[30]output_table!H26/100</f>
        <v>-0.149754591227248</v>
      </c>
    </row>
    <row r="32" customFormat="false" ht="12.8" hidden="false" customHeight="false" outlineLevel="0" collapsed="false">
      <c r="A32" s="10" t="s">
        <v>116</v>
      </c>
      <c r="B32" s="28" t="n">
        <f aca="false">AVERAGE(B7:B31)</f>
        <v>-0.220733776446165</v>
      </c>
      <c r="C32" s="28" t="n">
        <f aca="false">AVERAGE(C7:C31)</f>
        <v>-0.345303863270306</v>
      </c>
      <c r="D32" s="28" t="n">
        <f aca="false">AVERAGE(D7:D31)</f>
        <v>0.124570086824141</v>
      </c>
      <c r="E32" s="28" t="n">
        <f aca="false">AVERAGE(E7:E31)</f>
        <v>-0.0975286194354516</v>
      </c>
      <c r="F32" s="28" t="n">
        <f aca="false">AVERAGE(F7:F31)</f>
        <v>0.20722988792682</v>
      </c>
      <c r="G32" s="28" t="n">
        <f aca="false">AVERAGE(G7:G31)</f>
        <v>-0.304758507362271</v>
      </c>
    </row>
    <row r="33" customFormat="false" ht="12.8" hidden="false" customHeight="false" outlineLevel="0" collapsed="false"/>
    <row r="34" customFormat="false" ht="25.1" hidden="false" customHeight="true" outlineLevel="0" collapsed="false">
      <c r="A34" s="29" t="s">
        <v>117</v>
      </c>
      <c r="B34" s="29"/>
      <c r="C34" s="29"/>
      <c r="D34" s="29"/>
      <c r="E34" s="29"/>
      <c r="F34" s="29"/>
      <c r="G34" s="29"/>
    </row>
  </sheetData>
  <mergeCells count="3">
    <mergeCell ref="B5:D5"/>
    <mergeCell ref="E5:G5"/>
    <mergeCell ref="A34:G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92D050"/>
    <pageSetUpPr fitToPage="fals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2" activeCellId="0" sqref="A32"/>
    </sheetView>
  </sheetViews>
  <sheetFormatPr defaultRowHeight="15.75" zeroHeight="false" outlineLevelRow="0" outlineLevelCol="0"/>
  <cols>
    <col collapsed="false" customWidth="true" hidden="false" outlineLevel="0" max="1" min="1" style="10" width="22.86"/>
    <col collapsed="false" customWidth="true" hidden="false" outlineLevel="0" max="5" min="2" style="10" width="20.71"/>
    <col collapsed="false" customWidth="true" hidden="false" outlineLevel="0" max="1025" min="6" style="10" width="14.43"/>
  </cols>
  <sheetData>
    <row r="1" customFormat="false" ht="15.75" hidden="false" customHeight="true" outlineLevel="0" collapsed="false">
      <c r="A1" s="10" t="s">
        <v>76</v>
      </c>
    </row>
    <row r="3" customFormat="false" ht="15.75" hidden="false" customHeight="true" outlineLevel="0" collapsed="false">
      <c r="A3" s="10" t="str">
        <f aca="false">CONCATENATE("Title: Model-generated volatility (measured as variance), baseline calibration (",_xlfn.UNICHAR(952), " = 4)")</f>
        <v>Title: Model-generated volatility (measured as variance), baseline calibration (θ = 4)</v>
      </c>
    </row>
    <row r="5" customFormat="false" ht="51" hidden="false" customHeight="false" outlineLevel="0" collapsed="false">
      <c r="B5" s="13" t="s">
        <v>124</v>
      </c>
      <c r="C5" s="14" t="s">
        <v>125</v>
      </c>
      <c r="D5" s="14" t="s">
        <v>126</v>
      </c>
      <c r="E5" s="15" t="s">
        <v>127</v>
      </c>
    </row>
    <row r="6" customFormat="false" ht="15.75" hidden="false" customHeight="true" outlineLevel="0" collapsed="false">
      <c r="A6" s="16" t="s">
        <v>91</v>
      </c>
      <c r="B6" s="36" t="n">
        <f aca="false">ROUND([53]output_table!b2,6)</f>
        <v>0.000902</v>
      </c>
      <c r="C6" s="37" t="n">
        <f aca="false">ROUND([53]output_table!d2,6)</f>
        <v>0.001047</v>
      </c>
      <c r="D6" s="37" t="n">
        <f aca="false">ROUND([53]output_table!c2,6)</f>
        <v>0.000923</v>
      </c>
      <c r="E6" s="38" t="n">
        <f aca="false">ROUND([53]output_table!e2,6)</f>
        <v>0.001056</v>
      </c>
    </row>
    <row r="7" customFormat="false" ht="15.75" hidden="false" customHeight="true" outlineLevel="0" collapsed="false">
      <c r="A7" s="20" t="s">
        <v>92</v>
      </c>
      <c r="B7" s="39" t="n">
        <f aca="false">ROUND([53]output_table!b3,6)</f>
        <v>0.000537</v>
      </c>
      <c r="C7" s="40" t="n">
        <f aca="false">ROUND([53]output_table!d3,6)</f>
        <v>0.00069</v>
      </c>
      <c r="D7" s="40" t="n">
        <f aca="false">ROUND([53]output_table!c3,6)</f>
        <v>0.000948</v>
      </c>
      <c r="E7" s="41" t="n">
        <f aca="false">ROUND([53]output_table!e3,6)</f>
        <v>0.001807</v>
      </c>
    </row>
    <row r="8" customFormat="false" ht="15.75" hidden="false" customHeight="true" outlineLevel="0" collapsed="false">
      <c r="A8" s="20" t="s">
        <v>93</v>
      </c>
      <c r="B8" s="39" t="n">
        <f aca="false">ROUND([53]output_table!b4,6)</f>
        <v>0.001022</v>
      </c>
      <c r="C8" s="40" t="n">
        <f aca="false">ROUND([53]output_table!d4,6)</f>
        <v>0.001122</v>
      </c>
      <c r="D8" s="40" t="n">
        <f aca="false">ROUND([53]output_table!c4,6)</f>
        <v>0.00301</v>
      </c>
      <c r="E8" s="41" t="n">
        <f aca="false">ROUND([53]output_table!e4,6)</f>
        <v>0.00435</v>
      </c>
    </row>
    <row r="9" customFormat="false" ht="15.75" hidden="false" customHeight="true" outlineLevel="0" collapsed="false">
      <c r="A9" s="20" t="s">
        <v>94</v>
      </c>
      <c r="B9" s="39" t="n">
        <f aca="false">ROUND([53]output_table!b5,6)</f>
        <v>0.000592</v>
      </c>
      <c r="C9" s="40" t="n">
        <f aca="false">ROUND([53]output_table!d5,6)</f>
        <v>0.001075</v>
      </c>
      <c r="D9" s="40" t="n">
        <f aca="false">ROUND([53]output_table!c5,6)</f>
        <v>0.002177</v>
      </c>
      <c r="E9" s="41" t="n">
        <f aca="false">ROUND([53]output_table!e5,6)</f>
        <v>0.003263</v>
      </c>
    </row>
    <row r="10" customFormat="false" ht="15.75" hidden="false" customHeight="true" outlineLevel="0" collapsed="false">
      <c r="A10" s="20" t="s">
        <v>95</v>
      </c>
      <c r="B10" s="39" t="n">
        <f aca="false">ROUND([53]output_table!b6,6)</f>
        <v>0.006239</v>
      </c>
      <c r="C10" s="40" t="n">
        <f aca="false">ROUND([53]output_table!d6,6)</f>
        <v>0.007006</v>
      </c>
      <c r="D10" s="40" t="n">
        <f aca="false">ROUND([53]output_table!c6,6)</f>
        <v>0.006153</v>
      </c>
      <c r="E10" s="41" t="n">
        <f aca="false">ROUND([53]output_table!e6,6)</f>
        <v>0.006978</v>
      </c>
    </row>
    <row r="11" customFormat="false" ht="15.75" hidden="false" customHeight="true" outlineLevel="0" collapsed="false">
      <c r="A11" s="20" t="s">
        <v>96</v>
      </c>
      <c r="B11" s="39" t="n">
        <f aca="false">ROUND([53]output_table!b7,6)</f>
        <v>0.0011</v>
      </c>
      <c r="C11" s="40" t="n">
        <f aca="false">ROUND([53]output_table!d7,6)</f>
        <v>0.002508</v>
      </c>
      <c r="D11" s="40" t="n">
        <f aca="false">ROUND([53]output_table!c7,6)</f>
        <v>0.001943</v>
      </c>
      <c r="E11" s="41" t="n">
        <f aca="false">ROUND([53]output_table!e7,6)</f>
        <v>0.003776</v>
      </c>
    </row>
    <row r="12" customFormat="false" ht="15.75" hidden="false" customHeight="true" outlineLevel="0" collapsed="false">
      <c r="A12" s="20" t="s">
        <v>97</v>
      </c>
      <c r="B12" s="39" t="n">
        <f aca="false">ROUND([53]output_table!b8,6)</f>
        <v>0.000442</v>
      </c>
      <c r="C12" s="40" t="n">
        <f aca="false">ROUND([53]output_table!d8,6)</f>
        <v>0.000479</v>
      </c>
      <c r="D12" s="40" t="n">
        <f aca="false">ROUND([53]output_table!c8,6)</f>
        <v>0.00201</v>
      </c>
      <c r="E12" s="41" t="n">
        <f aca="false">ROUND([53]output_table!e8,6)</f>
        <v>0.001285</v>
      </c>
    </row>
    <row r="13" customFormat="false" ht="15.75" hidden="false" customHeight="true" outlineLevel="0" collapsed="false">
      <c r="A13" s="20" t="s">
        <v>98</v>
      </c>
      <c r="B13" s="39" t="n">
        <f aca="false">ROUND([53]output_table!b9,6)</f>
        <v>0.000618</v>
      </c>
      <c r="C13" s="40" t="n">
        <f aca="false">ROUND([53]output_table!d9,6)</f>
        <v>0.001</v>
      </c>
      <c r="D13" s="40" t="n">
        <f aca="false">ROUND([53]output_table!c9,6)</f>
        <v>0.000992</v>
      </c>
      <c r="E13" s="41" t="n">
        <f aca="false">ROUND([53]output_table!e9,6)</f>
        <v>0.001661</v>
      </c>
    </row>
    <row r="14" customFormat="false" ht="15.75" hidden="false" customHeight="true" outlineLevel="0" collapsed="false">
      <c r="A14" s="20" t="s">
        <v>99</v>
      </c>
      <c r="B14" s="39" t="n">
        <f aca="false">ROUND([53]output_table!b10,6)</f>
        <v>0.000196</v>
      </c>
      <c r="C14" s="40" t="n">
        <f aca="false">ROUND([53]output_table!d10,6)</f>
        <v>0.000257</v>
      </c>
      <c r="D14" s="40" t="n">
        <f aca="false">ROUND([53]output_table!c10,6)</f>
        <v>0.000262</v>
      </c>
      <c r="E14" s="41" t="n">
        <f aca="false">ROUND([53]output_table!e10,6)</f>
        <v>0.000189</v>
      </c>
    </row>
    <row r="15" customFormat="false" ht="15.75" hidden="false" customHeight="true" outlineLevel="0" collapsed="false">
      <c r="A15" s="20" t="s">
        <v>100</v>
      </c>
      <c r="B15" s="39" t="n">
        <f aca="false">ROUND([53]output_table!b11,6)</f>
        <v>0.000244</v>
      </c>
      <c r="C15" s="40" t="n">
        <f aca="false">ROUND([53]output_table!d11,6)</f>
        <v>0.000428</v>
      </c>
      <c r="D15" s="40" t="n">
        <f aca="false">ROUND([53]output_table!c11,6)</f>
        <v>0.00052</v>
      </c>
      <c r="E15" s="41" t="n">
        <f aca="false">ROUND([53]output_table!e11,6)</f>
        <v>0.000687</v>
      </c>
    </row>
    <row r="16" customFormat="false" ht="15.75" hidden="false" customHeight="true" outlineLevel="0" collapsed="false">
      <c r="A16" s="20" t="s">
        <v>101</v>
      </c>
      <c r="B16" s="39" t="n">
        <f aca="false">ROUND([53]output_table!b12,6)</f>
        <v>0.000298</v>
      </c>
      <c r="C16" s="40" t="n">
        <f aca="false">ROUND([53]output_table!d12,6)</f>
        <v>0.00044</v>
      </c>
      <c r="D16" s="40" t="n">
        <f aca="false">ROUND([53]output_table!c12,6)</f>
        <v>0.000379</v>
      </c>
      <c r="E16" s="41" t="n">
        <f aca="false">ROUND([53]output_table!e12,6)</f>
        <v>0.000409</v>
      </c>
    </row>
    <row r="17" customFormat="false" ht="15.75" hidden="false" customHeight="true" outlineLevel="0" collapsed="false">
      <c r="A17" s="20" t="s">
        <v>102</v>
      </c>
      <c r="B17" s="39" t="n">
        <f aca="false">ROUND([53]output_table!b13,6)</f>
        <v>0.001019</v>
      </c>
      <c r="C17" s="40" t="n">
        <f aca="false">ROUND([53]output_table!d13,6)</f>
        <v>0.000861</v>
      </c>
      <c r="D17" s="40" t="n">
        <f aca="false">ROUND([53]output_table!c13,6)</f>
        <v>0.001213</v>
      </c>
      <c r="E17" s="41" t="n">
        <f aca="false">ROUND([53]output_table!e13,6)</f>
        <v>0.000936</v>
      </c>
    </row>
    <row r="18" customFormat="false" ht="15.75" hidden="false" customHeight="true" outlineLevel="0" collapsed="false">
      <c r="A18" s="20" t="s">
        <v>103</v>
      </c>
      <c r="B18" s="39" t="n">
        <f aca="false">ROUND([53]output_table!b14,6)</f>
        <v>0.001048</v>
      </c>
      <c r="C18" s="40" t="n">
        <f aca="false">ROUND([53]output_table!d14,6)</f>
        <v>0.002048</v>
      </c>
      <c r="D18" s="40" t="n">
        <f aca="false">ROUND([53]output_table!c14,6)</f>
        <v>0.002557</v>
      </c>
      <c r="E18" s="41" t="n">
        <f aca="false">ROUND([53]output_table!e14,6)</f>
        <v>0.003812</v>
      </c>
    </row>
    <row r="19" customFormat="false" ht="15.75" hidden="false" customHeight="true" outlineLevel="0" collapsed="false">
      <c r="A19" s="20" t="s">
        <v>104</v>
      </c>
      <c r="B19" s="39" t="n">
        <f aca="false">ROUND([53]output_table!b15,6)</f>
        <v>0.00019</v>
      </c>
      <c r="C19" s="42" t="n">
        <f aca="false">ROUND([53]output_table!d15,6)</f>
        <v>0.000182</v>
      </c>
      <c r="D19" s="40" t="n">
        <f aca="false">ROUND([53]output_table!c15,6)</f>
        <v>0.000262</v>
      </c>
      <c r="E19" s="41" t="n">
        <f aca="false">ROUND([53]output_table!e15,6)</f>
        <v>0.000126</v>
      </c>
    </row>
    <row r="20" customFormat="false" ht="15.75" hidden="false" customHeight="true" outlineLevel="0" collapsed="false">
      <c r="A20" s="20" t="s">
        <v>105</v>
      </c>
      <c r="B20" s="39" t="n">
        <f aca="false">ROUND([53]output_table!b16,6)</f>
        <v>0.000296</v>
      </c>
      <c r="C20" s="40" t="n">
        <f aca="false">ROUND([53]output_table!d16,6)</f>
        <v>0.000223</v>
      </c>
      <c r="D20" s="40" t="n">
        <f aca="false">ROUND([53]output_table!c16,6)</f>
        <v>0.000305</v>
      </c>
      <c r="E20" s="41" t="n">
        <f aca="false">ROUND([53]output_table!e16,6)</f>
        <v>0.000199</v>
      </c>
    </row>
    <row r="21" customFormat="false" ht="15.75" hidden="false" customHeight="true" outlineLevel="0" collapsed="false">
      <c r="A21" s="20" t="s">
        <v>106</v>
      </c>
      <c r="B21" s="39" t="n">
        <f aca="false">ROUND([53]output_table!b17,6)</f>
        <v>0.001049</v>
      </c>
      <c r="C21" s="40" t="n">
        <f aca="false">ROUND([53]output_table!d17,6)</f>
        <v>0.005222</v>
      </c>
      <c r="D21" s="40" t="n">
        <f aca="false">ROUND([53]output_table!c17,6)</f>
        <v>0.002422</v>
      </c>
      <c r="E21" s="41" t="n">
        <f aca="false">ROUND([53]output_table!e17,6)</f>
        <v>0.007472</v>
      </c>
    </row>
    <row r="22" customFormat="false" ht="15.75" hidden="false" customHeight="true" outlineLevel="0" collapsed="false">
      <c r="A22" s="20" t="s">
        <v>107</v>
      </c>
      <c r="B22" s="39" t="n">
        <f aca="false">ROUND([53]output_table!b18,6)</f>
        <v>0.000336</v>
      </c>
      <c r="C22" s="40" t="n">
        <f aca="false">ROUND([53]output_table!d18,6)</f>
        <v>0.000658</v>
      </c>
      <c r="D22" s="40" t="n">
        <f aca="false">ROUND([53]output_table!c18,6)</f>
        <v>0.001236</v>
      </c>
      <c r="E22" s="41" t="n">
        <f aca="false">ROUND([53]output_table!e18,6)</f>
        <v>0.002313</v>
      </c>
    </row>
    <row r="23" customFormat="false" ht="15.75" hidden="false" customHeight="true" outlineLevel="0" collapsed="false">
      <c r="A23" s="20" t="s">
        <v>108</v>
      </c>
      <c r="B23" s="39" t="n">
        <f aca="false">ROUND([53]output_table!b19,6)</f>
        <v>0.000842</v>
      </c>
      <c r="C23" s="40" t="n">
        <f aca="false">ROUND([53]output_table!d19,6)</f>
        <v>0.002089</v>
      </c>
      <c r="D23" s="40" t="n">
        <f aca="false">ROUND([53]output_table!c19,6)</f>
        <v>0.001259</v>
      </c>
      <c r="E23" s="41" t="n">
        <f aca="false">ROUND([53]output_table!e19,6)</f>
        <v>0.003225</v>
      </c>
    </row>
    <row r="24" customFormat="false" ht="15.75" hidden="false" customHeight="true" outlineLevel="0" collapsed="false">
      <c r="A24" s="20" t="s">
        <v>109</v>
      </c>
      <c r="B24" s="39" t="n">
        <f aca="false">ROUND([53]output_table!b20,6)</f>
        <v>0.00156</v>
      </c>
      <c r="C24" s="40" t="n">
        <f aca="false">ROUND([53]output_table!d20,6)</f>
        <v>0.001711</v>
      </c>
      <c r="D24" s="40" t="n">
        <f aca="false">ROUND([53]output_table!c20,6)</f>
        <v>0.001661</v>
      </c>
      <c r="E24" s="41" t="n">
        <f aca="false">ROUND([53]output_table!e20,6)</f>
        <v>0.002715</v>
      </c>
    </row>
    <row r="25" customFormat="false" ht="15.75" hidden="false" customHeight="true" outlineLevel="0" collapsed="false">
      <c r="A25" s="20" t="s">
        <v>110</v>
      </c>
      <c r="B25" s="39" t="n">
        <f aca="false">ROUND([53]output_table!b21,6)</f>
        <v>0.00165</v>
      </c>
      <c r="C25" s="40" t="n">
        <f aca="false">ROUND([53]output_table!d21,6)</f>
        <v>0.002388</v>
      </c>
      <c r="D25" s="40" t="n">
        <f aca="false">ROUND([53]output_table!c21,6)</f>
        <v>0.001631</v>
      </c>
      <c r="E25" s="41" t="n">
        <f aca="false">ROUND([53]output_table!e21,6)</f>
        <v>0.002413</v>
      </c>
    </row>
    <row r="26" customFormat="false" ht="15.75" hidden="false" customHeight="true" outlineLevel="0" collapsed="false">
      <c r="A26" s="20" t="s">
        <v>111</v>
      </c>
      <c r="B26" s="39" t="n">
        <f aca="false">ROUND([53]output_table!b22,6)</f>
        <v>0.000853</v>
      </c>
      <c r="C26" s="40" t="n">
        <f aca="false">ROUND([53]output_table!d22,6)</f>
        <v>0.000793</v>
      </c>
      <c r="D26" s="40" t="n">
        <f aca="false">ROUND([53]output_table!c22,6)</f>
        <v>0.000863</v>
      </c>
      <c r="E26" s="41" t="n">
        <f aca="false">ROUND([53]output_table!e22,6)</f>
        <v>0.000877</v>
      </c>
    </row>
    <row r="27" customFormat="false" ht="15.75" hidden="false" customHeight="true" outlineLevel="0" collapsed="false">
      <c r="A27" s="20" t="s">
        <v>112</v>
      </c>
      <c r="B27" s="39" t="n">
        <f aca="false">ROUND([53]output_table!b23,6)</f>
        <v>0.000241</v>
      </c>
      <c r="C27" s="40" t="n">
        <f aca="false">ROUND([53]output_table!d23,6)</f>
        <v>0.000252</v>
      </c>
      <c r="D27" s="40" t="n">
        <f aca="false">ROUND([53]output_table!c23,6)</f>
        <v>0.001229</v>
      </c>
      <c r="E27" s="41" t="n">
        <f aca="false">ROUND([53]output_table!e23,6)</f>
        <v>0.000793</v>
      </c>
    </row>
    <row r="28" customFormat="false" ht="15.75" hidden="false" customHeight="true" outlineLevel="0" collapsed="false">
      <c r="A28" s="20" t="s">
        <v>113</v>
      </c>
      <c r="B28" s="39" t="n">
        <f aca="false">ROUND([53]output_table!b24,6)</f>
        <v>0.000346</v>
      </c>
      <c r="C28" s="40" t="n">
        <f aca="false">ROUND([53]output_table!d24,6)</f>
        <v>0.000526</v>
      </c>
      <c r="D28" s="40" t="n">
        <f aca="false">ROUND([53]output_table!c24,6)</f>
        <v>0.000592</v>
      </c>
      <c r="E28" s="41" t="n">
        <f aca="false">ROUND([53]output_table!e24,6)</f>
        <v>0.000688</v>
      </c>
    </row>
    <row r="29" customFormat="false" ht="15.75" hidden="false" customHeight="true" outlineLevel="0" collapsed="false">
      <c r="A29" s="20" t="s">
        <v>114</v>
      </c>
      <c r="B29" s="39" t="n">
        <f aca="false">ROUND([53]output_table!b25,6)</f>
        <v>0.000236</v>
      </c>
      <c r="C29" s="40" t="n">
        <f aca="false">ROUND([53]output_table!d25,6)</f>
        <v>0.000184</v>
      </c>
      <c r="D29" s="40" t="n">
        <f aca="false">ROUND([53]output_table!c25,6)</f>
        <v>0.000595</v>
      </c>
      <c r="E29" s="41" t="n">
        <f aca="false">ROUND([53]output_table!e25,6)</f>
        <v>0.000362</v>
      </c>
    </row>
    <row r="30" customFormat="false" ht="15.75" hidden="false" customHeight="true" outlineLevel="0" collapsed="false">
      <c r="A30" s="24" t="s">
        <v>115</v>
      </c>
      <c r="B30" s="43" t="n">
        <f aca="false">ROUND([53]output_table!b26,6)</f>
        <v>0.000262</v>
      </c>
      <c r="C30" s="44" t="n">
        <f aca="false">ROUND([53]output_table!d26,6)</f>
        <v>0.000358</v>
      </c>
      <c r="D30" s="44" t="n">
        <f aca="false">ROUND([53]output_table!c26,6)</f>
        <v>0.000266</v>
      </c>
      <c r="E30" s="45" t="n">
        <f aca="false">ROUND([53]output_table!e26,6)</f>
        <v>0.000337</v>
      </c>
    </row>
    <row r="32" customFormat="false" ht="36.8" hidden="false" customHeight="true" outlineLevel="0" collapsed="false">
      <c r="A32" s="29" t="s">
        <v>128</v>
      </c>
      <c r="B32" s="29"/>
      <c r="C32" s="29"/>
      <c r="D32" s="29"/>
      <c r="E32" s="29"/>
    </row>
  </sheetData>
  <mergeCells count="1">
    <mergeCell ref="A32:E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K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8.29"/>
    <col collapsed="false" customWidth="true" hidden="false" outlineLevel="0" max="1025" min="2" style="0" width="8.76"/>
  </cols>
  <sheetData>
    <row r="1" customFormat="false" ht="12.75" hidden="false" customHeight="false" outlineLevel="0" collapsed="false">
      <c r="K1" s="0" t="s">
        <v>129</v>
      </c>
    </row>
    <row r="2" customFormat="false" ht="12.75" hidden="false" customHeight="false" outlineLevel="0" collapsed="false">
      <c r="B2" s="0" t="s">
        <v>130</v>
      </c>
      <c r="C2" s="0" t="s">
        <v>131</v>
      </c>
      <c r="D2" s="46" t="s">
        <v>132</v>
      </c>
      <c r="K2" s="0" t="s">
        <v>133</v>
      </c>
    </row>
    <row r="3" customFormat="false" ht="12.75" hidden="false" customHeight="false" outlineLevel="0" collapsed="false">
      <c r="A3" s="0" t="s">
        <v>134</v>
      </c>
      <c r="B3" s="0" t="n">
        <v>0.0451017</v>
      </c>
      <c r="C3" s="0" t="n">
        <v>0.0857608</v>
      </c>
      <c r="D3" s="0" t="n">
        <v>0.53</v>
      </c>
      <c r="K3" s="0" t="s">
        <v>135</v>
      </c>
    </row>
    <row r="4" customFormat="false" ht="12.75" hidden="false" customHeight="false" outlineLevel="0" collapsed="false">
      <c r="A4" s="0" t="s">
        <v>136</v>
      </c>
      <c r="B4" s="0" t="n">
        <v>0.0675627</v>
      </c>
      <c r="C4" s="0" t="n">
        <v>0.0158404</v>
      </c>
      <c r="D4" s="0" t="n">
        <v>4.27</v>
      </c>
      <c r="K4" s="0" t="s">
        <v>137</v>
      </c>
    </row>
    <row r="5" customFormat="false" ht="12.75" hidden="false" customHeight="false" outlineLevel="0" collapsed="false">
      <c r="A5" s="0" t="s">
        <v>138</v>
      </c>
      <c r="B5" s="0" t="n">
        <v>0.1177053</v>
      </c>
      <c r="C5" s="0" t="n">
        <v>0.0255549</v>
      </c>
      <c r="D5" s="0" t="n">
        <v>4.61</v>
      </c>
      <c r="K5" s="0" t="s">
        <v>139</v>
      </c>
    </row>
    <row r="6" customFormat="false" ht="12.75" hidden="false" customHeight="false" outlineLevel="0" collapsed="false">
      <c r="A6" s="0" t="s">
        <v>140</v>
      </c>
      <c r="B6" s="0" t="n">
        <v>0.0096435</v>
      </c>
      <c r="C6" s="0" t="n">
        <v>0.0221361</v>
      </c>
      <c r="D6" s="0" t="n">
        <v>0.44</v>
      </c>
    </row>
    <row r="7" customFormat="false" ht="12.75" hidden="false" customHeight="false" outlineLevel="0" collapsed="false">
      <c r="K7" s="0" t="s">
        <v>141</v>
      </c>
    </row>
    <row r="9" customFormat="false" ht="12.75" hidden="false" customHeight="false" outlineLevel="0" collapsed="false">
      <c r="B9" s="46"/>
      <c r="K9" s="0" t="s">
        <v>142</v>
      </c>
    </row>
    <row r="10" customFormat="false" ht="12.75" hidden="false" customHeight="false" outlineLevel="0" collapsed="false">
      <c r="B10" s="46"/>
      <c r="K10" s="0" t="s">
        <v>143</v>
      </c>
    </row>
    <row r="11" customFormat="false" ht="12.75" hidden="false" customHeight="false" outlineLevel="0" collapsed="false">
      <c r="B11" s="46"/>
    </row>
    <row r="12" customFormat="false" ht="12.75" hidden="false" customHeight="false" outlineLevel="0" collapsed="false">
      <c r="B12" s="46"/>
      <c r="K12" s="0" t="s">
        <v>144</v>
      </c>
    </row>
    <row r="13" customFormat="false" ht="12.75" hidden="false" customHeight="false" outlineLevel="0" collapsed="false">
      <c r="K13" s="0" t="s">
        <v>145</v>
      </c>
    </row>
    <row r="14" customFormat="false" ht="12.75" hidden="false" customHeight="false" outlineLevel="0" collapsed="false">
      <c r="K14" s="0" t="s">
        <v>146</v>
      </c>
    </row>
    <row r="15" customFormat="false" ht="12.75" hidden="false" customHeight="false" outlineLevel="0" collapsed="false">
      <c r="K15" s="0" t="s">
        <v>147</v>
      </c>
    </row>
    <row r="17" customFormat="false" ht="12.75" hidden="false" customHeight="false" outlineLevel="0" collapsed="false">
      <c r="K17" s="0" t="s">
        <v>148</v>
      </c>
    </row>
    <row r="19" customFormat="false" ht="12.75" hidden="false" customHeight="false" outlineLevel="0" collapsed="false">
      <c r="K19" s="0" t="s">
        <v>149</v>
      </c>
    </row>
    <row r="20" customFormat="false" ht="12.75" hidden="false" customHeight="false" outlineLevel="0" collapsed="false">
      <c r="K20" s="0" t="s">
        <v>150</v>
      </c>
    </row>
    <row r="22" customFormat="false" ht="12.75" hidden="false" customHeight="false" outlineLevel="0" collapsed="false">
      <c r="K22" s="0" t="s">
        <v>151</v>
      </c>
    </row>
    <row r="23" customFormat="false" ht="12.75" hidden="false" customHeight="false" outlineLevel="0" collapsed="false">
      <c r="K23" s="0" t="s">
        <v>152</v>
      </c>
    </row>
    <row r="24" customFormat="false" ht="12.75" hidden="false" customHeight="false" outlineLevel="0" collapsed="false">
      <c r="K24" s="0" t="s">
        <v>153</v>
      </c>
    </row>
    <row r="25" customFormat="false" ht="12.75" hidden="false" customHeight="false" outlineLevel="0" collapsed="false">
      <c r="K25" s="0" t="s">
        <v>154</v>
      </c>
    </row>
    <row r="27" customFormat="false" ht="12.75" hidden="false" customHeight="false" outlineLevel="0" collapsed="false">
      <c r="K27" s="0" t="s">
        <v>155</v>
      </c>
    </row>
    <row r="28" customFormat="false" ht="12.75" hidden="false" customHeight="false" outlineLevel="0" collapsed="false">
      <c r="K28" s="0" t="s">
        <v>156</v>
      </c>
    </row>
    <row r="30" customFormat="false" ht="12.75" hidden="false" customHeight="false" outlineLevel="0" collapsed="false">
      <c r="K30" s="0" t="s">
        <v>157</v>
      </c>
    </row>
    <row r="31" customFormat="false" ht="12.75" hidden="false" customHeight="false" outlineLevel="0" collapsed="false">
      <c r="K31" s="0" t="s">
        <v>158</v>
      </c>
    </row>
    <row r="32" customFormat="false" ht="12.75" hidden="false" customHeight="false" outlineLevel="0" collapsed="false">
      <c r="K32" s="0" t="s">
        <v>159</v>
      </c>
    </row>
    <row r="33" customFormat="false" ht="12.75" hidden="false" customHeight="false" outlineLevel="0" collapsed="false">
      <c r="K33" s="0" t="s">
        <v>160</v>
      </c>
    </row>
    <row r="34" customFormat="false" ht="12.75" hidden="false" customHeight="false" outlineLevel="0" collapsed="false">
      <c r="K34" s="0" t="s">
        <v>161</v>
      </c>
    </row>
    <row r="35" customFormat="false" ht="12.75" hidden="false" customHeight="false" outlineLevel="0" collapsed="false">
      <c r="K35" s="0" t="s">
        <v>157</v>
      </c>
    </row>
    <row r="37" customFormat="false" ht="12.75" hidden="false" customHeight="false" outlineLevel="0" collapsed="false">
      <c r="K37" s="0" t="s">
        <v>162</v>
      </c>
    </row>
    <row r="39" customFormat="false" ht="12.75" hidden="false" customHeight="false" outlineLevel="0" collapsed="false">
      <c r="K39" s="0" t="s">
        <v>163</v>
      </c>
    </row>
    <row r="40" customFormat="false" ht="12.75" hidden="false" customHeight="false" outlineLevel="0" collapsed="false">
      <c r="K40" s="0" t="s">
        <v>150</v>
      </c>
    </row>
    <row r="42" customFormat="false" ht="12.75" hidden="false" customHeight="false" outlineLevel="0" collapsed="false">
      <c r="K42" s="0" t="s">
        <v>151</v>
      </c>
    </row>
    <row r="43" customFormat="false" ht="12.75" hidden="false" customHeight="false" outlineLevel="0" collapsed="false">
      <c r="K43" s="0" t="s">
        <v>152</v>
      </c>
    </row>
    <row r="44" customFormat="false" ht="12.75" hidden="false" customHeight="false" outlineLevel="0" collapsed="false">
      <c r="K44" s="0" t="s">
        <v>153</v>
      </c>
    </row>
    <row r="45" customFormat="false" ht="12.75" hidden="false" customHeight="false" outlineLevel="0" collapsed="false">
      <c r="K45" s="0" t="s">
        <v>154</v>
      </c>
    </row>
    <row r="47" customFormat="false" ht="12.75" hidden="false" customHeight="false" outlineLevel="0" collapsed="false">
      <c r="K47" s="0" t="s">
        <v>164</v>
      </c>
    </row>
    <row r="48" customFormat="false" ht="12.75" hidden="false" customHeight="false" outlineLevel="0" collapsed="false">
      <c r="K48" s="0" t="s">
        <v>165</v>
      </c>
    </row>
    <row r="50" customFormat="false" ht="12.75" hidden="false" customHeight="false" outlineLevel="0" collapsed="false">
      <c r="K50" s="0" t="s">
        <v>157</v>
      </c>
    </row>
    <row r="51" customFormat="false" ht="12.75" hidden="false" customHeight="false" outlineLevel="0" collapsed="false">
      <c r="K51" s="0" t="s">
        <v>158</v>
      </c>
    </row>
    <row r="52" customFormat="false" ht="12.75" hidden="false" customHeight="false" outlineLevel="0" collapsed="false">
      <c r="K52" s="0" t="s">
        <v>159</v>
      </c>
    </row>
    <row r="53" customFormat="false" ht="12.75" hidden="false" customHeight="false" outlineLevel="0" collapsed="false">
      <c r="K53" s="0" t="s">
        <v>166</v>
      </c>
    </row>
    <row r="54" customFormat="false" ht="12.75" hidden="false" customHeight="false" outlineLevel="0" collapsed="false">
      <c r="K54" s="0" t="s">
        <v>167</v>
      </c>
    </row>
    <row r="55" customFormat="false" ht="12.75" hidden="false" customHeight="false" outlineLevel="0" collapsed="false">
      <c r="K55" s="0" t="s">
        <v>159</v>
      </c>
    </row>
    <row r="56" customFormat="false" ht="12.75" hidden="false" customHeight="false" outlineLevel="0" collapsed="false">
      <c r="K56" s="0" t="s">
        <v>168</v>
      </c>
    </row>
    <row r="57" customFormat="false" ht="12.75" hidden="false" customHeight="false" outlineLevel="0" collapsed="false">
      <c r="K57" s="0" t="s">
        <v>169</v>
      </c>
    </row>
    <row r="58" customFormat="false" ht="12.75" hidden="false" customHeight="false" outlineLevel="0" collapsed="false">
      <c r="K58" s="0" t="s">
        <v>170</v>
      </c>
    </row>
    <row r="59" customFormat="false" ht="12.75" hidden="false" customHeight="false" outlineLevel="0" collapsed="false">
      <c r="K59" s="0" t="s">
        <v>157</v>
      </c>
    </row>
    <row r="60" customFormat="false" ht="12.75" hidden="false" customHeight="false" outlineLevel="0" collapsed="false">
      <c r="K60" s="0" t="s">
        <v>171</v>
      </c>
    </row>
    <row r="62" customFormat="false" ht="12.75" hidden="false" customHeight="false" outlineLevel="0" collapsed="false">
      <c r="K62" s="0" t="s">
        <v>172</v>
      </c>
    </row>
    <row r="63" customFormat="false" ht="12.75" hidden="false" customHeight="false" outlineLevel="0" collapsed="false">
      <c r="K63" s="0" t="s">
        <v>173</v>
      </c>
    </row>
    <row r="64" customFormat="false" ht="12.75" hidden="false" customHeight="false" outlineLevel="0" collapsed="false">
      <c r="K64" s="0" t="s">
        <v>174</v>
      </c>
    </row>
    <row r="65" customFormat="false" ht="12.75" hidden="false" customHeight="false" outlineLevel="0" collapsed="false">
      <c r="K65" s="0" t="s">
        <v>147</v>
      </c>
    </row>
    <row r="67" customFormat="false" ht="12.75" hidden="false" customHeight="false" outlineLevel="0" collapsed="false">
      <c r="K67" s="0" t="s">
        <v>148</v>
      </c>
    </row>
    <row r="69" customFormat="false" ht="12.75" hidden="false" customHeight="false" outlineLevel="0" collapsed="false">
      <c r="K69" s="0" t="s">
        <v>149</v>
      </c>
    </row>
    <row r="70" customFormat="false" ht="12.75" hidden="false" customHeight="false" outlineLevel="0" collapsed="false">
      <c r="K70" s="0" t="s">
        <v>175</v>
      </c>
    </row>
    <row r="72" customFormat="false" ht="12.75" hidden="false" customHeight="false" outlineLevel="0" collapsed="false">
      <c r="K72" s="0" t="s">
        <v>151</v>
      </c>
    </row>
    <row r="73" customFormat="false" ht="12.75" hidden="false" customHeight="false" outlineLevel="0" collapsed="false">
      <c r="K73" s="0" t="s">
        <v>176</v>
      </c>
    </row>
    <row r="74" customFormat="false" ht="12.75" hidden="false" customHeight="false" outlineLevel="0" collapsed="false">
      <c r="K74" s="0" t="s">
        <v>177</v>
      </c>
    </row>
    <row r="75" customFormat="false" ht="12.75" hidden="false" customHeight="false" outlineLevel="0" collapsed="false">
      <c r="K75" s="0" t="s">
        <v>178</v>
      </c>
    </row>
    <row r="77" customFormat="false" ht="12.75" hidden="false" customHeight="false" outlineLevel="0" collapsed="false">
      <c r="K77" s="0" t="s">
        <v>179</v>
      </c>
    </row>
    <row r="78" customFormat="false" ht="12.75" hidden="false" customHeight="false" outlineLevel="0" collapsed="false">
      <c r="K78" s="0" t="s">
        <v>180</v>
      </c>
    </row>
    <row r="80" customFormat="false" ht="12.75" hidden="false" customHeight="false" outlineLevel="0" collapsed="false">
      <c r="K80" s="0" t="s">
        <v>157</v>
      </c>
    </row>
    <row r="81" customFormat="false" ht="12.75" hidden="false" customHeight="false" outlineLevel="0" collapsed="false">
      <c r="K81" s="0" t="s">
        <v>158</v>
      </c>
    </row>
    <row r="82" customFormat="false" ht="12.75" hidden="false" customHeight="false" outlineLevel="0" collapsed="false">
      <c r="K82" s="0" t="s">
        <v>159</v>
      </c>
    </row>
    <row r="83" customFormat="false" ht="12.75" hidden="false" customHeight="false" outlineLevel="0" collapsed="false">
      <c r="K83" s="0" t="s">
        <v>181</v>
      </c>
    </row>
    <row r="84" customFormat="false" ht="12.75" hidden="false" customHeight="false" outlineLevel="0" collapsed="false">
      <c r="K84" s="0" t="s">
        <v>182</v>
      </c>
    </row>
    <row r="85" customFormat="false" ht="12.75" hidden="false" customHeight="false" outlineLevel="0" collapsed="false">
      <c r="K85" s="0" t="s">
        <v>157</v>
      </c>
    </row>
    <row r="87" customFormat="false" ht="12.75" hidden="false" customHeight="false" outlineLevel="0" collapsed="false">
      <c r="K87" s="0" t="s">
        <v>162</v>
      </c>
    </row>
    <row r="89" customFormat="false" ht="12.75" hidden="false" customHeight="false" outlineLevel="0" collapsed="false">
      <c r="K89" s="0" t="s">
        <v>163</v>
      </c>
    </row>
    <row r="90" customFormat="false" ht="12.75" hidden="false" customHeight="false" outlineLevel="0" collapsed="false">
      <c r="K90" s="0" t="s">
        <v>175</v>
      </c>
    </row>
    <row r="92" customFormat="false" ht="12.75" hidden="false" customHeight="false" outlineLevel="0" collapsed="false">
      <c r="K92" s="0" t="s">
        <v>151</v>
      </c>
    </row>
    <row r="93" customFormat="false" ht="12.75" hidden="false" customHeight="false" outlineLevel="0" collapsed="false">
      <c r="K93" s="0" t="s">
        <v>176</v>
      </c>
    </row>
    <row r="94" customFormat="false" ht="12.75" hidden="false" customHeight="false" outlineLevel="0" collapsed="false">
      <c r="K94" s="0" t="s">
        <v>177</v>
      </c>
    </row>
    <row r="95" customFormat="false" ht="12.75" hidden="false" customHeight="false" outlineLevel="0" collapsed="false">
      <c r="K95" s="0" t="s">
        <v>178</v>
      </c>
    </row>
    <row r="97" customFormat="false" ht="12.75" hidden="false" customHeight="false" outlineLevel="0" collapsed="false">
      <c r="K97" s="0" t="s">
        <v>183</v>
      </c>
    </row>
    <row r="98" customFormat="false" ht="12.75" hidden="false" customHeight="false" outlineLevel="0" collapsed="false">
      <c r="K98" s="0" t="s">
        <v>184</v>
      </c>
    </row>
    <row r="100" customFormat="false" ht="12.75" hidden="false" customHeight="false" outlineLevel="0" collapsed="false">
      <c r="K100" s="0" t="s">
        <v>157</v>
      </c>
    </row>
    <row r="101" customFormat="false" ht="12.75" hidden="false" customHeight="false" outlineLevel="0" collapsed="false">
      <c r="K101" s="0" t="s">
        <v>158</v>
      </c>
    </row>
    <row r="102" customFormat="false" ht="12.75" hidden="false" customHeight="false" outlineLevel="0" collapsed="false">
      <c r="K102" s="0" t="s">
        <v>159</v>
      </c>
    </row>
    <row r="103" customFormat="false" ht="12.75" hidden="false" customHeight="false" outlineLevel="0" collapsed="false">
      <c r="K103" s="0" t="s">
        <v>185</v>
      </c>
    </row>
    <row r="104" customFormat="false" ht="12.75" hidden="false" customHeight="false" outlineLevel="0" collapsed="false">
      <c r="K104" s="0" t="s">
        <v>186</v>
      </c>
    </row>
    <row r="105" customFormat="false" ht="12.75" hidden="false" customHeight="false" outlineLevel="0" collapsed="false">
      <c r="K105" s="0" t="s">
        <v>159</v>
      </c>
    </row>
    <row r="106" customFormat="false" ht="12.75" hidden="false" customHeight="false" outlineLevel="0" collapsed="false">
      <c r="K106" s="0" t="s">
        <v>187</v>
      </c>
    </row>
    <row r="107" customFormat="false" ht="12.75" hidden="false" customHeight="false" outlineLevel="0" collapsed="false">
      <c r="K107" s="0" t="s">
        <v>188</v>
      </c>
    </row>
    <row r="108" customFormat="false" ht="12.75" hidden="false" customHeight="false" outlineLevel="0" collapsed="false">
      <c r="K108" s="0" t="s">
        <v>189</v>
      </c>
    </row>
    <row r="109" customFormat="false" ht="12.75" hidden="false" customHeight="false" outlineLevel="0" collapsed="false">
      <c r="K109" s="0" t="s">
        <v>157</v>
      </c>
    </row>
    <row r="110" customFormat="false" ht="12.75" hidden="false" customHeight="false" outlineLevel="0" collapsed="false">
      <c r="K110" s="0" t="s">
        <v>190</v>
      </c>
    </row>
    <row r="112" customFormat="false" ht="12.75" hidden="false" customHeight="false" outlineLevel="0" collapsed="false">
      <c r="K112" s="0" t="s">
        <v>191</v>
      </c>
    </row>
    <row r="113" customFormat="false" ht="12.75" hidden="false" customHeight="false" outlineLevel="0" collapsed="false">
      <c r="K113" s="0" t="s">
        <v>133</v>
      </c>
    </row>
    <row r="114" customFormat="false" ht="12.75" hidden="false" customHeight="false" outlineLevel="0" collapsed="false">
      <c r="K114" s="0" t="s">
        <v>135</v>
      </c>
    </row>
    <row r="115" customFormat="false" ht="12.75" hidden="false" customHeight="false" outlineLevel="0" collapsed="false">
      <c r="K115" s="0" t="s">
        <v>137</v>
      </c>
    </row>
    <row r="116" customFormat="false" ht="12.75" hidden="false" customHeight="false" outlineLevel="0" collapsed="false">
      <c r="K116" s="0" t="s">
        <v>192</v>
      </c>
    </row>
    <row r="117" customFormat="false" ht="12.75" hidden="false" customHeight="false" outlineLevel="0" collapsed="false">
      <c r="K117" s="0" t="s">
        <v>129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2D050"/>
    <pageSetUpPr fitToPage="false"/>
  </sheetPr>
  <dimension ref="A1:C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75" zeroHeight="false" outlineLevelRow="0" outlineLevelCol="0"/>
  <cols>
    <col collapsed="false" customWidth="true" hidden="false" outlineLevel="0" max="1" min="1" style="10" width="43"/>
    <col collapsed="false" customWidth="true" hidden="false" outlineLevel="0" max="1025" min="2" style="10" width="14.43"/>
  </cols>
  <sheetData>
    <row r="1" customFormat="false" ht="15.75" hidden="false" customHeight="true" outlineLevel="0" collapsed="false">
      <c r="B1" s="11" t="s">
        <v>84</v>
      </c>
      <c r="C1" s="11" t="s">
        <v>85</v>
      </c>
    </row>
    <row r="2" customFormat="false" ht="15.75" hidden="false" customHeight="true" outlineLevel="0" collapsed="false">
      <c r="A2" s="11" t="s">
        <v>86</v>
      </c>
      <c r="B2" s="10" t="n">
        <v>0.958</v>
      </c>
      <c r="C2" s="10" t="n">
        <v>0.987</v>
      </c>
    </row>
    <row r="3" customFormat="false" ht="15.75" hidden="false" customHeight="true" outlineLevel="0" collapsed="false">
      <c r="A3" s="11" t="s">
        <v>87</v>
      </c>
      <c r="B3" s="11" t="n">
        <v>0.879</v>
      </c>
      <c r="C3" s="10" t="n">
        <v>0.892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25</v>
      </c>
    </row>
    <row r="3" customFormat="false" ht="15.75" hidden="false" customHeight="true" outlineLevel="0" collapsed="false">
      <c r="A3" s="10" t="str">
        <f aca="false">CONCATENATE("Title: Changes in average volatility due to measured changes in trade barriers, baseline calibration (",_xlfn.UNICHAR(952), " = 4)")</f>
        <v>Title: Changes in average volatility due to measured changes in trade barriers, baseline calibration (θ = 4)</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[18]output_table!f2/100</f>
        <v>-0.0221545089782619</v>
      </c>
      <c r="C6" s="18" t="n">
        <f aca="false">[18]output_table!g2/100</f>
        <v>-0.00911333428951213</v>
      </c>
      <c r="D6" s="19" t="n">
        <f aca="false">[18]output_table!h2/100</f>
        <v>-0.0130411746887498</v>
      </c>
    </row>
    <row r="7" customFormat="false" ht="15.75" hidden="false" customHeight="true" outlineLevel="0" collapsed="false">
      <c r="A7" s="20" t="s">
        <v>92</v>
      </c>
      <c r="B7" s="21" t="n">
        <f aca="false">[18]output_table!f3/100</f>
        <v>-0.433120897909035</v>
      </c>
      <c r="C7" s="22" t="n">
        <f aca="false">[18]output_table!g3/100</f>
        <v>-1.17774992775076</v>
      </c>
      <c r="D7" s="23" t="n">
        <f aca="false">[18]output_table!h3/100</f>
        <v>0.744629029841729</v>
      </c>
    </row>
    <row r="8" customFormat="false" ht="15.75" hidden="false" customHeight="true" outlineLevel="0" collapsed="false">
      <c r="A8" s="20" t="s">
        <v>93</v>
      </c>
      <c r="B8" s="21" t="n">
        <f aca="false">[18]output_table!f4/100</f>
        <v>-0.660447852176205</v>
      </c>
      <c r="C8" s="22" t="n">
        <f aca="false">[18]output_table!g4/100</f>
        <v>-1.07241937866316</v>
      </c>
      <c r="D8" s="23" t="n">
        <f aca="false">[18]output_table!h4/100</f>
        <v>0.411971526486957</v>
      </c>
    </row>
    <row r="9" customFormat="false" ht="15.75" hidden="false" customHeight="true" outlineLevel="0" collapsed="false">
      <c r="A9" s="20" t="s">
        <v>94</v>
      </c>
      <c r="B9" s="21" t="n">
        <f aca="false">[18]output_table!f5/100</f>
        <v>-0.728319328590585</v>
      </c>
      <c r="C9" s="22" t="n">
        <f aca="false">[18]output_table!g5/100</f>
        <v>-1.00497135209422</v>
      </c>
      <c r="D9" s="23" t="n">
        <f aca="false">[18]output_table!h5/100</f>
        <v>0.27665202350363</v>
      </c>
    </row>
    <row r="10" customFormat="false" ht="15.75" hidden="false" customHeight="true" outlineLevel="0" collapsed="false">
      <c r="A10" s="20" t="s">
        <v>95</v>
      </c>
      <c r="B10" s="21" t="n">
        <f aca="false">[18]output_table!f6/100</f>
        <v>0.0139754215208166</v>
      </c>
      <c r="C10" s="22" t="n">
        <f aca="false">[18]output_table!g6/100</f>
        <v>0.00450816716774414</v>
      </c>
      <c r="D10" s="23" t="n">
        <f aca="false">[18]output_table!h6/100</f>
        <v>0.0094672543530725</v>
      </c>
    </row>
    <row r="11" customFormat="false" ht="15.75" hidden="false" customHeight="true" outlineLevel="0" collapsed="false">
      <c r="A11" s="20" t="s">
        <v>96</v>
      </c>
      <c r="B11" s="21" t="n">
        <f aca="false">[18]output_table!f7/100</f>
        <v>-0.433679611094768</v>
      </c>
      <c r="C11" s="22" t="n">
        <f aca="false">[18]output_table!g7/100</f>
        <v>-0.65228085976386</v>
      </c>
      <c r="D11" s="23" t="n">
        <f aca="false">[18]output_table!h7/100</f>
        <v>0.218601248669092</v>
      </c>
      <c r="G11" s="10" t="n">
        <f aca="false">[18]output_table!j14</f>
        <v>0</v>
      </c>
    </row>
    <row r="12" customFormat="false" ht="15.75" hidden="false" customHeight="true" outlineLevel="0" collapsed="false">
      <c r="A12" s="20" t="s">
        <v>97</v>
      </c>
      <c r="B12" s="21" t="n">
        <f aca="false">[18]output_table!f8/100</f>
        <v>-0.780278672421773</v>
      </c>
      <c r="C12" s="22" t="n">
        <f aca="false">[18]output_table!g8/100</f>
        <v>-0.400751090645278</v>
      </c>
      <c r="D12" s="23" t="n">
        <f aca="false">[18]output_table!h8/100</f>
        <v>-0.379527581776495</v>
      </c>
    </row>
    <row r="13" customFormat="false" ht="15.75" hidden="false" customHeight="true" outlineLevel="0" collapsed="false">
      <c r="A13" s="20" t="s">
        <v>98</v>
      </c>
      <c r="B13" s="21" t="n">
        <f aca="false">[18]output_table!f9/100</f>
        <v>-0.376731086291881</v>
      </c>
      <c r="C13" s="22" t="n">
        <f aca="false">[18]output_table!g9/100</f>
        <v>-0.666145961002364</v>
      </c>
      <c r="D13" s="23" t="n">
        <f aca="false">[18]output_table!h9/100</f>
        <v>0.289414874710483</v>
      </c>
    </row>
    <row r="14" customFormat="false" ht="15.75" hidden="false" customHeight="true" outlineLevel="0" collapsed="false">
      <c r="A14" s="20" t="s">
        <v>99</v>
      </c>
      <c r="B14" s="21" t="n">
        <f aca="false">[18]output_table!f10/100</f>
        <v>-0.252279804698286</v>
      </c>
      <c r="C14" s="22" t="n">
        <f aca="false">[18]output_table!g10/100</f>
        <v>0.25815178005355</v>
      </c>
      <c r="D14" s="23" t="n">
        <f aca="false">[18]output_table!h10/100</f>
        <v>-0.510431584751836</v>
      </c>
    </row>
    <row r="15" customFormat="false" ht="15.75" hidden="false" customHeight="true" outlineLevel="0" collapsed="false">
      <c r="A15" s="20" t="s">
        <v>100</v>
      </c>
      <c r="B15" s="21" t="n">
        <f aca="false">[18]output_table!f11/100</f>
        <v>-0.531895133245992</v>
      </c>
      <c r="C15" s="22" t="n">
        <f aca="false">[18]output_table!g11/100</f>
        <v>-0.497258336292738</v>
      </c>
      <c r="D15" s="23" t="n">
        <f aca="false">[18]output_table!h11/100</f>
        <v>-0.0346367969532541</v>
      </c>
    </row>
    <row r="16" customFormat="false" ht="15.75" hidden="false" customHeight="true" outlineLevel="0" collapsed="false">
      <c r="A16" s="20" t="s">
        <v>101</v>
      </c>
      <c r="B16" s="21" t="n">
        <f aca="false">[18]output_table!f12/100</f>
        <v>-0.212922348691201</v>
      </c>
      <c r="C16" s="22" t="n">
        <f aca="false">[18]output_table!g12/100</f>
        <v>0.0833280980652471</v>
      </c>
      <c r="D16" s="23" t="n">
        <f aca="false">[18]output_table!h12/100</f>
        <v>-0.296250446756448</v>
      </c>
    </row>
    <row r="17" customFormat="false" ht="15.75" hidden="false" customHeight="true" outlineLevel="0" collapsed="false">
      <c r="A17" s="20" t="s">
        <v>102</v>
      </c>
      <c r="B17" s="21" t="n">
        <f aca="false">[18]output_table!f13/100</f>
        <v>-0.160085169982907</v>
      </c>
      <c r="C17" s="22" t="n">
        <f aca="false">[18]output_table!g13/100</f>
        <v>-0.0618892470746476</v>
      </c>
      <c r="D17" s="23" t="n">
        <f aca="false">[18]output_table!h13/100</f>
        <v>-0.0981959229082593</v>
      </c>
    </row>
    <row r="18" customFormat="false" ht="15.75" hidden="false" customHeight="true" outlineLevel="0" collapsed="false">
      <c r="A18" s="20" t="s">
        <v>103</v>
      </c>
      <c r="B18" s="21" t="n">
        <f aca="false">[18]output_table!f14/100</f>
        <v>-0.590338601722649</v>
      </c>
      <c r="C18" s="22" t="n">
        <f aca="false">[18]output_table!g14/100</f>
        <v>-0.690114845065105</v>
      </c>
      <c r="D18" s="23" t="n">
        <f aca="false">[18]output_table!h14/100</f>
        <v>0.0997762433424555</v>
      </c>
    </row>
    <row r="19" customFormat="false" ht="15.75" hidden="false" customHeight="true" outlineLevel="0" collapsed="false">
      <c r="A19" s="20" t="s">
        <v>104</v>
      </c>
      <c r="B19" s="21" t="n">
        <f aca="false">[18]output_table!f15/100</f>
        <v>-0.27391295617386</v>
      </c>
      <c r="C19" s="22" t="n">
        <f aca="false">[18]output_table!g15/100</f>
        <v>0.213245564808174</v>
      </c>
      <c r="D19" s="23" t="n">
        <f aca="false">[18]output_table!h15/100</f>
        <v>-0.487158520982035</v>
      </c>
    </row>
    <row r="20" customFormat="false" ht="15.75" hidden="false" customHeight="true" outlineLevel="0" collapsed="false">
      <c r="A20" s="20" t="s">
        <v>105</v>
      </c>
      <c r="B20" s="21" t="n">
        <f aca="false">[18]output_table!f16/100</f>
        <v>-0.0294010004448435</v>
      </c>
      <c r="C20" s="22" t="n">
        <f aca="false">[18]output_table!g16/100</f>
        <v>0.0785068753927509</v>
      </c>
      <c r="D20" s="23" t="n">
        <f aca="false">[18]output_table!h16/100</f>
        <v>-0.107907875837594</v>
      </c>
    </row>
    <row r="21" customFormat="false" ht="15.75" hidden="false" customHeight="true" outlineLevel="0" collapsed="false">
      <c r="A21" s="20" t="s">
        <v>106</v>
      </c>
      <c r="B21" s="21" t="n">
        <f aca="false">[18]output_table!f17/100</f>
        <v>-0.566835882919984</v>
      </c>
      <c r="C21" s="22" t="n">
        <f aca="false">[18]output_table!g17/100</f>
        <v>-0.92881450858457</v>
      </c>
      <c r="D21" s="23" t="n">
        <f aca="false">[18]output_table!h17/100</f>
        <v>0.361978625664586</v>
      </c>
    </row>
    <row r="22" customFormat="false" ht="15.75" hidden="false" customHeight="true" outlineLevel="0" collapsed="false">
      <c r="A22" s="20" t="s">
        <v>107</v>
      </c>
      <c r="B22" s="21" t="n">
        <f aca="false">[18]output_table!f18/100</f>
        <v>-0.727895603430568</v>
      </c>
      <c r="C22" s="22" t="n">
        <f aca="false">[18]output_table!g18/100</f>
        <v>-1.33901309755984</v>
      </c>
      <c r="D22" s="23" t="n">
        <f aca="false">[18]output_table!h18/100</f>
        <v>0.611117494129271</v>
      </c>
    </row>
    <row r="23" customFormat="false" ht="15.75" hidden="false" customHeight="true" outlineLevel="0" collapsed="false">
      <c r="A23" s="20" t="s">
        <v>108</v>
      </c>
      <c r="B23" s="21" t="n">
        <f aca="false">[18]output_table!f19/100</f>
        <v>-0.331076231220729</v>
      </c>
      <c r="C23" s="22" t="n">
        <f aca="false">[18]output_table!g19/100</f>
        <v>-0.901810823883885</v>
      </c>
      <c r="D23" s="23" t="n">
        <f aca="false">[18]output_table!h19/100</f>
        <v>0.570734592663156</v>
      </c>
    </row>
    <row r="24" customFormat="false" ht="15.75" hidden="false" customHeight="true" outlineLevel="0" collapsed="false">
      <c r="A24" s="20" t="s">
        <v>109</v>
      </c>
      <c r="B24" s="21" t="n">
        <f aca="false">[18]output_table!f20/100</f>
        <v>-0.0605215431474709</v>
      </c>
      <c r="C24" s="22" t="n">
        <f aca="false">[18]output_table!g20/100</f>
        <v>-0.604896004583805</v>
      </c>
      <c r="D24" s="23" t="n">
        <f aca="false">[18]output_table!h20/100</f>
        <v>0.544374461436334</v>
      </c>
    </row>
    <row r="25" customFormat="false" ht="15.75" hidden="false" customHeight="true" outlineLevel="0" collapsed="false">
      <c r="A25" s="20" t="s">
        <v>110</v>
      </c>
      <c r="B25" s="21" t="n">
        <f aca="false">[18]output_table!f21/100</f>
        <v>0.0111564447797642</v>
      </c>
      <c r="C25" s="22" t="n">
        <f aca="false">[18]output_table!g21/100</f>
        <v>-0.0156420783508161</v>
      </c>
      <c r="D25" s="23" t="n">
        <f aca="false">[18]output_table!h21/100</f>
        <v>0.0267985231305803</v>
      </c>
    </row>
    <row r="26" customFormat="false" ht="15.75" hidden="false" customHeight="true" outlineLevel="0" collapsed="false">
      <c r="A26" s="20" t="s">
        <v>111</v>
      </c>
      <c r="B26" s="21" t="n">
        <f aca="false">[18]output_table!f22/100</f>
        <v>-0.0118124121370011</v>
      </c>
      <c r="C26" s="22" t="n">
        <f aca="false">[18]output_table!g22/100</f>
        <v>-0.0974899178588105</v>
      </c>
      <c r="D26" s="23" t="n">
        <f aca="false">[18]output_table!h22/100</f>
        <v>0.0856775057218094</v>
      </c>
    </row>
    <row r="27" customFormat="false" ht="15.75" hidden="false" customHeight="true" outlineLevel="0" collapsed="false">
      <c r="A27" s="20" t="s">
        <v>112</v>
      </c>
      <c r="B27" s="21" t="n">
        <f aca="false">[18]output_table!f23/100</f>
        <v>-0.803634917954918</v>
      </c>
      <c r="C27" s="22" t="n">
        <f aca="false">[18]output_table!g23/100</f>
        <v>-0.440254261137247</v>
      </c>
      <c r="D27" s="23" t="n">
        <f aca="false">[18]output_table!h23/100</f>
        <v>-0.363380656817671</v>
      </c>
    </row>
    <row r="28" customFormat="false" ht="15.75" hidden="false" customHeight="true" outlineLevel="0" collapsed="false">
      <c r="A28" s="20" t="s">
        <v>113</v>
      </c>
      <c r="B28" s="21" t="n">
        <f aca="false">[18]output_table!f24/100</f>
        <v>-0.415722547186038</v>
      </c>
      <c r="C28" s="22" t="n">
        <f aca="false">[18]output_table!g24/100</f>
        <v>-0.273969838845227</v>
      </c>
      <c r="D28" s="23" t="n">
        <f aca="false">[18]output_table!h24/100</f>
        <v>-0.14175270834081</v>
      </c>
    </row>
    <row r="29" customFormat="false" ht="15.75" hidden="false" customHeight="true" outlineLevel="0" collapsed="false">
      <c r="A29" s="20" t="s">
        <v>114</v>
      </c>
      <c r="B29" s="21" t="n">
        <f aca="false">[18]output_table!f25/100</f>
        <v>-0.603733044708156</v>
      </c>
      <c r="C29" s="22" t="n">
        <f aca="false">[18]output_table!g25/100</f>
        <v>-0.299234728249103</v>
      </c>
      <c r="D29" s="23" t="n">
        <f aca="false">[18]output_table!h25/100</f>
        <v>-0.304498316459053</v>
      </c>
    </row>
    <row r="30" customFormat="false" ht="15.75" hidden="false" customHeight="true" outlineLevel="0" collapsed="false">
      <c r="A30" s="24" t="s">
        <v>115</v>
      </c>
      <c r="B30" s="25" t="n">
        <f aca="false">[18]output_table!f26/100</f>
        <v>-0.0166636915463004</v>
      </c>
      <c r="C30" s="26" t="n">
        <f aca="false">[18]output_table!g26/100</f>
        <v>0.07864046370202</v>
      </c>
      <c r="D30" s="27" t="n">
        <f aca="false">[18]output_table!h26/100</f>
        <v>-0.0953041552483204</v>
      </c>
    </row>
    <row r="31" customFormat="false" ht="12.8" hidden="false" customHeight="false" outlineLevel="0" collapsed="false">
      <c r="A31" s="10" t="s">
        <v>116</v>
      </c>
      <c r="B31" s="28" t="n">
        <f aca="false">AVERAGE(B6:B30)</f>
        <v>-0.359933239214913</v>
      </c>
      <c r="C31" s="28" t="n">
        <f aca="false">AVERAGE(C6:C30)</f>
        <v>-0.416697545700218</v>
      </c>
      <c r="D31" s="28" t="n">
        <f aca="false">AVERAGE(D6:D30)</f>
        <v>0.0567643064853052</v>
      </c>
    </row>
    <row r="32" customFormat="false" ht="12.8" hidden="false" customHeight="false" outlineLevel="0" collapsed="false"/>
    <row r="33" customFormat="false" ht="36.8" hidden="false" customHeight="true" outlineLevel="0" collapsed="false">
      <c r="A33" s="29" t="s">
        <v>117</v>
      </c>
      <c r="B33" s="29"/>
      <c r="C33" s="29"/>
      <c r="D33" s="29"/>
    </row>
    <row r="34" customFormat="false" ht="12.8" hidden="false" customHeight="false" outlineLevel="0" collapsed="false">
      <c r="A34" s="29"/>
      <c r="B34" s="29"/>
      <c r="C34" s="29"/>
      <c r="D34" s="29"/>
    </row>
  </sheetData>
  <mergeCells count="2">
    <mergeCell ref="A33:D33"/>
    <mergeCell ref="A34:D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2D050"/>
    <pageSetUpPr fitToPage="false"/>
  </sheetPr>
  <dimension ref="A1:D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27" activeCellId="0" sqref="C27"/>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37</v>
      </c>
    </row>
    <row r="3" customFormat="false" ht="15.75" hidden="false" customHeight="true" outlineLevel="0" collapsed="false">
      <c r="A3" s="10" t="str">
        <f aca="false">CONCATENATE("Title: Changes in average volatility due to measured changes in trade barriers, baseline calibration (",_xlfn.UNICHAR(952), " = 4) with trade imbalances")</f>
        <v>Title: Changes in average volatility due to measured changes in trade barriers, baseline calibration (θ = 4) with trade imbalances</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[43]output_table!f2/100</f>
        <v>-0.0368344802782356</v>
      </c>
      <c r="C6" s="18" t="n">
        <f aca="false">[43]output_table!g2/100</f>
        <v>-0.0204935156919391</v>
      </c>
      <c r="D6" s="19" t="n">
        <f aca="false">[43]output_table!h2/100</f>
        <v>-0.0163409645862965</v>
      </c>
    </row>
    <row r="7" customFormat="false" ht="15.75" hidden="false" customHeight="true" outlineLevel="0" collapsed="false">
      <c r="A7" s="20" t="s">
        <v>92</v>
      </c>
      <c r="B7" s="21" t="n">
        <f aca="false">[43]output_table!f3/100</f>
        <v>-0.440140094369348</v>
      </c>
      <c r="C7" s="22" t="n">
        <f aca="false">[43]output_table!g3/100</f>
        <v>-1.19741854848344</v>
      </c>
      <c r="D7" s="23" t="n">
        <f aca="false">[43]output_table!h3/100</f>
        <v>0.757278454114092</v>
      </c>
    </row>
    <row r="8" customFormat="false" ht="15.75" hidden="false" customHeight="true" outlineLevel="0" collapsed="false">
      <c r="A8" s="20" t="s">
        <v>93</v>
      </c>
      <c r="B8" s="21" t="n">
        <f aca="false">[43]output_table!f4/100</f>
        <v>-0.654424627370792</v>
      </c>
      <c r="C8" s="22" t="n">
        <f aca="false">[43]output_table!g4/100</f>
        <v>-1.13741965609665</v>
      </c>
      <c r="D8" s="23" t="n">
        <f aca="false">[43]output_table!h4/100</f>
        <v>0.482995028725854</v>
      </c>
    </row>
    <row r="9" customFormat="false" ht="15.75" hidden="false" customHeight="true" outlineLevel="0" collapsed="false">
      <c r="A9" s="20" t="s">
        <v>94</v>
      </c>
      <c r="B9" s="21" t="n">
        <f aca="false">[43]output_table!f5/100</f>
        <v>-0.740145140803165</v>
      </c>
      <c r="C9" s="22" t="n">
        <f aca="false">[43]output_table!g5/100</f>
        <v>-1.00914241611677</v>
      </c>
      <c r="D9" s="23" t="n">
        <f aca="false">[43]output_table!h5/100</f>
        <v>0.2689972753136</v>
      </c>
    </row>
    <row r="10" customFormat="false" ht="15.75" hidden="false" customHeight="true" outlineLevel="0" collapsed="false">
      <c r="A10" s="20" t="s">
        <v>95</v>
      </c>
      <c r="B10" s="21" t="n">
        <f aca="false">[43]output_table!f6/100</f>
        <v>0.0175778300760961</v>
      </c>
      <c r="C10" s="22" t="n">
        <f aca="false">[43]output_table!g6/100</f>
        <v>0.0158502144961624</v>
      </c>
      <c r="D10" s="23" t="n">
        <f aca="false">[43]output_table!h6/100</f>
        <v>0.00172761557993373</v>
      </c>
    </row>
    <row r="11" customFormat="false" ht="15.75" hidden="false" customHeight="true" outlineLevel="0" collapsed="false">
      <c r="A11" s="20" t="s">
        <v>96</v>
      </c>
      <c r="B11" s="21" t="n">
        <f aca="false">[43]output_table!f7/100</f>
        <v>-0.441129422764084</v>
      </c>
      <c r="C11" s="22" t="n">
        <f aca="false">[43]output_table!g7/100</f>
        <v>-0.669219745172582</v>
      </c>
      <c r="D11" s="23" t="n">
        <f aca="false">[43]output_table!h7/100</f>
        <v>0.228090322408498</v>
      </c>
    </row>
    <row r="12" customFormat="false" ht="15.75" hidden="false" customHeight="true" outlineLevel="0" collapsed="false">
      <c r="A12" s="20" t="s">
        <v>97</v>
      </c>
      <c r="B12" s="21" t="n">
        <f aca="false">[43]output_table!f8/100</f>
        <v>-0.76061931946419</v>
      </c>
      <c r="C12" s="22" t="n">
        <f aca="false">[43]output_table!g8/100</f>
        <v>-0.418199982541437</v>
      </c>
      <c r="D12" s="23" t="n">
        <f aca="false">[43]output_table!h8/100</f>
        <v>-0.342419336922753</v>
      </c>
    </row>
    <row r="13" customFormat="false" ht="15.75" hidden="false" customHeight="true" outlineLevel="0" collapsed="false">
      <c r="A13" s="20" t="s">
        <v>98</v>
      </c>
      <c r="B13" s="21" t="n">
        <f aca="false">[43]output_table!f9/100</f>
        <v>-0.363190846226128</v>
      </c>
      <c r="C13" s="22" t="n">
        <f aca="false">[43]output_table!g9/100</f>
        <v>-0.650987702939865</v>
      </c>
      <c r="D13" s="23" t="n">
        <f aca="false">[43]output_table!h9/100</f>
        <v>0.287796856713736</v>
      </c>
    </row>
    <row r="14" customFormat="false" ht="15.75" hidden="false" customHeight="true" outlineLevel="0" collapsed="false">
      <c r="A14" s="20" t="s">
        <v>99</v>
      </c>
      <c r="B14" s="21" t="n">
        <f aca="false">[43]output_table!f10/100</f>
        <v>-0.248354410483435</v>
      </c>
      <c r="C14" s="22" t="n">
        <f aca="false">[43]output_table!g10/100</f>
        <v>0.248492068379413</v>
      </c>
      <c r="D14" s="23" t="n">
        <f aca="false">[43]output_table!h10/100</f>
        <v>-0.496846478862848</v>
      </c>
    </row>
    <row r="15" customFormat="false" ht="15.75" hidden="false" customHeight="true" outlineLevel="0" collapsed="false">
      <c r="A15" s="20" t="s">
        <v>100</v>
      </c>
      <c r="B15" s="21" t="n">
        <f aca="false">[43]output_table!f11/100</f>
        <v>-0.526769447454915</v>
      </c>
      <c r="C15" s="22" t="n">
        <f aca="false">[43]output_table!g11/100</f>
        <v>-0.502685638651905</v>
      </c>
      <c r="D15" s="23" t="n">
        <f aca="false">[43]output_table!h11/100</f>
        <v>-0.0240838088030105</v>
      </c>
    </row>
    <row r="16" customFormat="false" ht="15.75" hidden="false" customHeight="true" outlineLevel="0" collapsed="false">
      <c r="A16" s="20" t="s">
        <v>101</v>
      </c>
      <c r="B16" s="21" t="n">
        <f aca="false">[43]output_table!f12/100</f>
        <v>-0.241781912513826</v>
      </c>
      <c r="C16" s="22" t="n">
        <f aca="false">[43]output_table!g12/100</f>
        <v>0.0194246810330748</v>
      </c>
      <c r="D16" s="23" t="n">
        <f aca="false">[43]output_table!h12/100</f>
        <v>-0.261206593546901</v>
      </c>
    </row>
    <row r="17" customFormat="false" ht="15.75" hidden="false" customHeight="true" outlineLevel="0" collapsed="false">
      <c r="A17" s="20" t="s">
        <v>102</v>
      </c>
      <c r="B17" s="21" t="n">
        <f aca="false">[43]output_table!f13/100</f>
        <v>-0.154243959099375</v>
      </c>
      <c r="C17" s="22" t="n">
        <f aca="false">[43]output_table!g13/100</f>
        <v>-0.073507926317903</v>
      </c>
      <c r="D17" s="23" t="n">
        <f aca="false">[43]output_table!h13/100</f>
        <v>-0.0807360327814722</v>
      </c>
    </row>
    <row r="18" customFormat="false" ht="15.75" hidden="false" customHeight="true" outlineLevel="0" collapsed="false">
      <c r="A18" s="20" t="s">
        <v>103</v>
      </c>
      <c r="B18" s="21" t="n">
        <f aca="false">[43]output_table!f14/100</f>
        <v>-0.552584704835349</v>
      </c>
      <c r="C18" s="22" t="n">
        <f aca="false">[43]output_table!g14/100</f>
        <v>-0.675945641335112</v>
      </c>
      <c r="D18" s="23" t="n">
        <f aca="false">[43]output_table!h14/100</f>
        <v>0.123360936499763</v>
      </c>
    </row>
    <row r="19" customFormat="false" ht="15.75" hidden="false" customHeight="true" outlineLevel="0" collapsed="false">
      <c r="A19" s="20" t="s">
        <v>104</v>
      </c>
      <c r="B19" s="21" t="n">
        <f aca="false">[43]output_table!f15/100</f>
        <v>-0.264430390133735</v>
      </c>
      <c r="C19" s="22" t="n">
        <f aca="false">[43]output_table!g15/100</f>
        <v>0.207193421501089</v>
      </c>
      <c r="D19" s="23" t="n">
        <f aca="false">[43]output_table!h15/100</f>
        <v>-0.471623811634824</v>
      </c>
    </row>
    <row r="20" customFormat="false" ht="15.75" hidden="false" customHeight="true" outlineLevel="0" collapsed="false">
      <c r="A20" s="20" t="s">
        <v>105</v>
      </c>
      <c r="B20" s="21" t="n">
        <f aca="false">[43]output_table!f16/100</f>
        <v>-0.0032784382817985</v>
      </c>
      <c r="C20" s="22" t="n">
        <f aca="false">[43]output_table!g16/100</f>
        <v>0.0719705347634612</v>
      </c>
      <c r="D20" s="23" t="n">
        <f aca="false">[43]output_table!h16/100</f>
        <v>-0.0752489730452597</v>
      </c>
    </row>
    <row r="21" customFormat="false" ht="15.75" hidden="false" customHeight="true" outlineLevel="0" collapsed="false">
      <c r="A21" s="20" t="s">
        <v>106</v>
      </c>
      <c r="B21" s="21" t="n">
        <f aca="false">[43]output_table!f17/100</f>
        <v>-0.553756924030687</v>
      </c>
      <c r="C21" s="22" t="n">
        <f aca="false">[43]output_table!g17/100</f>
        <v>-0.932719245157943</v>
      </c>
      <c r="D21" s="23" t="n">
        <f aca="false">[43]output_table!h17/100</f>
        <v>0.378962321127256</v>
      </c>
    </row>
    <row r="22" customFormat="false" ht="15.75" hidden="false" customHeight="true" outlineLevel="0" collapsed="false">
      <c r="A22" s="20" t="s">
        <v>107</v>
      </c>
      <c r="B22" s="21" t="n">
        <f aca="false">[43]output_table!f18/100</f>
        <v>-0.73577787542698</v>
      </c>
      <c r="C22" s="22" t="n">
        <f aca="false">[43]output_table!g18/100</f>
        <v>-1.31922615625241</v>
      </c>
      <c r="D22" s="23" t="n">
        <f aca="false">[43]output_table!h18/100</f>
        <v>0.583448280825429</v>
      </c>
    </row>
    <row r="23" customFormat="false" ht="15.75" hidden="false" customHeight="true" outlineLevel="0" collapsed="false">
      <c r="A23" s="20" t="s">
        <v>108</v>
      </c>
      <c r="B23" s="21" t="n">
        <f aca="false">[43]output_table!f19/100</f>
        <v>-0.337516330750765</v>
      </c>
      <c r="C23" s="22" t="n">
        <f aca="false">[43]output_table!g19/100</f>
        <v>-0.897126539665786</v>
      </c>
      <c r="D23" s="23" t="n">
        <f aca="false">[43]output_table!h19/100</f>
        <v>0.559610208915021</v>
      </c>
    </row>
    <row r="24" customFormat="false" ht="15.75" hidden="false" customHeight="true" outlineLevel="0" collapsed="false">
      <c r="A24" s="20" t="s">
        <v>109</v>
      </c>
      <c r="B24" s="21" t="n">
        <f aca="false">[43]output_table!f20/100</f>
        <v>-0.0663436110672812</v>
      </c>
      <c r="C24" s="22" t="n">
        <f aca="false">[43]output_table!g20/100</f>
        <v>-0.608694151708548</v>
      </c>
      <c r="D24" s="23" t="n">
        <f aca="false">[43]output_table!h20/100</f>
        <v>0.542350540641267</v>
      </c>
    </row>
    <row r="25" customFormat="false" ht="15.75" hidden="false" customHeight="true" outlineLevel="0" collapsed="false">
      <c r="A25" s="20" t="s">
        <v>110</v>
      </c>
      <c r="B25" s="21" t="n">
        <f aca="false">[43]output_table!f21/100</f>
        <v>0.00730269411518984</v>
      </c>
      <c r="C25" s="22" t="n">
        <f aca="false">[43]output_table!g21/100</f>
        <v>-0.0140575920381376</v>
      </c>
      <c r="D25" s="23" t="n">
        <f aca="false">[43]output_table!h21/100</f>
        <v>0.0213602861533274</v>
      </c>
    </row>
    <row r="26" customFormat="false" ht="15.75" hidden="false" customHeight="true" outlineLevel="0" collapsed="false">
      <c r="A26" s="20" t="s">
        <v>111</v>
      </c>
      <c r="B26" s="21" t="n">
        <f aca="false">[43]output_table!f22/100</f>
        <v>-0.00185495231833724</v>
      </c>
      <c r="C26" s="22" t="n">
        <f aca="false">[43]output_table!g22/100</f>
        <v>-0.077447304375504</v>
      </c>
      <c r="D26" s="23" t="n">
        <f aca="false">[43]output_table!h22/100</f>
        <v>0.0755923520571667</v>
      </c>
    </row>
    <row r="27" customFormat="false" ht="15.75" hidden="false" customHeight="true" outlineLevel="0" collapsed="false">
      <c r="A27" s="20" t="s">
        <v>112</v>
      </c>
      <c r="B27" s="21" t="n">
        <f aca="false">[43]output_table!f23/100</f>
        <v>-0.799622225857276</v>
      </c>
      <c r="C27" s="22" t="n">
        <f aca="false">[43]output_table!g23/100</f>
        <v>-0.439240047639952</v>
      </c>
      <c r="D27" s="23" t="n">
        <f aca="false">[43]output_table!h23/100</f>
        <v>-0.360382178217324</v>
      </c>
    </row>
    <row r="28" customFormat="false" ht="15.75" hidden="false" customHeight="true" outlineLevel="0" collapsed="false">
      <c r="A28" s="20" t="s">
        <v>113</v>
      </c>
      <c r="B28" s="21" t="n">
        <f aca="false">[43]output_table!f24/100</f>
        <v>-0.411216003064707</v>
      </c>
      <c r="C28" s="22" t="n">
        <f aca="false">[43]output_table!g24/100</f>
        <v>-0.28237297814188</v>
      </c>
      <c r="D28" s="23" t="n">
        <f aca="false">[43]output_table!h24/100</f>
        <v>-0.128843024922827</v>
      </c>
    </row>
    <row r="29" customFormat="false" ht="15.75" hidden="false" customHeight="true" outlineLevel="0" collapsed="false">
      <c r="A29" s="20" t="s">
        <v>114</v>
      </c>
      <c r="B29" s="21" t="n">
        <f aca="false">[43]output_table!f25/100</f>
        <v>-0.590959822418176</v>
      </c>
      <c r="C29" s="22" t="n">
        <f aca="false">[43]output_table!g25/100</f>
        <v>-0.302066401168096</v>
      </c>
      <c r="D29" s="23" t="n">
        <f aca="false">[43]output_table!h25/100</f>
        <v>-0.288893421250081</v>
      </c>
    </row>
    <row r="30" customFormat="false" ht="15.75" hidden="false" customHeight="true" outlineLevel="0" collapsed="false">
      <c r="A30" s="24" t="s">
        <v>115</v>
      </c>
      <c r="B30" s="25" t="n">
        <f aca="false">[43]output_table!f26/100</f>
        <v>-0.0219409361890993</v>
      </c>
      <c r="C30" s="26" t="n">
        <f aca="false">[43]output_table!g26/100</f>
        <v>0.0645861672035352</v>
      </c>
      <c r="D30" s="27" t="n">
        <f aca="false">[43]output_table!h26/100</f>
        <v>-0.0865271033926345</v>
      </c>
    </row>
    <row r="31" customFormat="false" ht="12.8" hidden="false" customHeight="false" outlineLevel="0" collapsed="false">
      <c r="A31" s="10" t="s">
        <v>116</v>
      </c>
      <c r="B31" s="28" t="n">
        <f aca="false">AVERAGE(B6:B30)</f>
        <v>-0.356881414040416</v>
      </c>
      <c r="C31" s="28" t="n">
        <f aca="false">AVERAGE(C6:C30)</f>
        <v>-0.424018164084765</v>
      </c>
      <c r="D31" s="28" t="n">
        <f aca="false">AVERAGE(D6:D30)</f>
        <v>0.0671367500443485</v>
      </c>
    </row>
    <row r="32" customFormat="false" ht="12.8" hidden="false" customHeight="false" outlineLevel="0" collapsed="false"/>
    <row r="33" customFormat="false" ht="36.8" hidden="false" customHeight="true" outlineLevel="0" collapsed="false">
      <c r="A33" s="29" t="s">
        <v>117</v>
      </c>
      <c r="B33" s="29"/>
      <c r="C33" s="29"/>
      <c r="D33" s="29"/>
    </row>
  </sheetData>
  <mergeCells count="1">
    <mergeCell ref="A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40</v>
      </c>
    </row>
    <row r="3" customFormat="false" ht="15.75" hidden="false" customHeight="true" outlineLevel="0" collapsed="false">
      <c r="A3" s="10" t="str">
        <f aca="false">CONCATENATE("Title: Changes in average volatility due to measured changes in trade barriers, alternative calibrations (",_xlfn.UNICHAR(952), " = 2 and ",_xlfn.UNICHAR(952), " = 8)")</f>
        <v>Title: Changes in average volatility due to measured changes in trade barriers, alternative calibrations (θ = 2 and θ = 8)</v>
      </c>
    </row>
    <row r="5" customFormat="false" ht="15.75" hidden="false" customHeight="true" outlineLevel="0" collapsed="false">
      <c r="B5" s="30" t="str">
        <f aca="false">CONCATENATE(_xlfn.UNICHAR(952)," = 2")</f>
        <v>θ = 2</v>
      </c>
      <c r="C5" s="30"/>
      <c r="D5" s="30"/>
      <c r="E5" s="30" t="str">
        <f aca="false">CONCATENATE(_xlfn.UNICHAR(952)," = 8")</f>
        <v>θ = 8</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[54]output_table!f2/100</f>
        <v>-0.172647272514739</v>
      </c>
      <c r="C7" s="18" t="n">
        <f aca="false">[54]output_table!g2/100</f>
        <v>-0.0523745218634783</v>
      </c>
      <c r="D7" s="19" t="n">
        <f aca="false">[54]output_table!h2/100</f>
        <v>-0.120272750651261</v>
      </c>
      <c r="E7" s="17" t="n">
        <f aca="false">[55]output_table!f2/100</f>
        <v>0.00660719976540656</v>
      </c>
      <c r="F7" s="18" t="n">
        <f aca="false">[55]output_table!g2/100</f>
        <v>0.00544383966328072</v>
      </c>
      <c r="G7" s="19" t="n">
        <f aca="false">[55]output_table!h2/100</f>
        <v>0.00116336010212584</v>
      </c>
    </row>
    <row r="8" customFormat="false" ht="15.75" hidden="false" customHeight="true" outlineLevel="0" collapsed="false">
      <c r="A8" s="20" t="s">
        <v>92</v>
      </c>
      <c r="B8" s="21" t="n">
        <f aca="false">[54]output_table!f3/100</f>
        <v>-0.663552630641328</v>
      </c>
      <c r="C8" s="22" t="n">
        <f aca="false">[54]output_table!g3/100</f>
        <v>-1.40323981633381</v>
      </c>
      <c r="D8" s="23" t="n">
        <f aca="false">[54]output_table!h3/100</f>
        <v>0.739687185692483</v>
      </c>
      <c r="E8" s="21" t="n">
        <f aca="false">[55]output_table!f3/100</f>
        <v>-0.312868834741823</v>
      </c>
      <c r="F8" s="22" t="n">
        <f aca="false">[55]output_table!g3/100</f>
        <v>-0.71040600952572</v>
      </c>
      <c r="G8" s="23" t="n">
        <f aca="false">[55]output_table!h3/100</f>
        <v>0.397537174783897</v>
      </c>
    </row>
    <row r="9" customFormat="false" ht="15.75" hidden="false" customHeight="true" outlineLevel="0" collapsed="false">
      <c r="A9" s="20" t="s">
        <v>93</v>
      </c>
      <c r="B9" s="21" t="n">
        <f aca="false">[54]output_table!f4/100</f>
        <v>-0.780748338263203</v>
      </c>
      <c r="C9" s="22" t="n">
        <f aca="false">[54]output_table!g4/100</f>
        <v>-1.30227650431545</v>
      </c>
      <c r="D9" s="23" t="n">
        <f aca="false">[54]output_table!h4/100</f>
        <v>0.521528166052247</v>
      </c>
      <c r="E9" s="21" t="n">
        <f aca="false">[55]output_table!f4/100</f>
        <v>-0.538247580639704</v>
      </c>
      <c r="F9" s="22" t="n">
        <f aca="false">[55]output_table!g4/100</f>
        <v>-0.741130999459054</v>
      </c>
      <c r="G9" s="23" t="n">
        <f aca="false">[55]output_table!h4/100</f>
        <v>0.202883418819349</v>
      </c>
    </row>
    <row r="10" customFormat="false" ht="15.75" hidden="false" customHeight="true" outlineLevel="0" collapsed="false">
      <c r="A10" s="20" t="s">
        <v>94</v>
      </c>
      <c r="B10" s="21" t="n">
        <f aca="false">[54]output_table!f5/100</f>
        <v>-0.794982414515835</v>
      </c>
      <c r="C10" s="22" t="n">
        <f aca="false">[54]output_table!g5/100</f>
        <v>-1.12544915357088</v>
      </c>
      <c r="D10" s="23" t="n">
        <f aca="false">[54]output_table!h5/100</f>
        <v>0.330466739055045</v>
      </c>
      <c r="E10" s="21" t="n">
        <f aca="false">[55]output_table!f5/100</f>
        <v>-0.558040284061951</v>
      </c>
      <c r="F10" s="22" t="n">
        <f aca="false">[55]output_table!g5/100</f>
        <v>-0.718645064731028</v>
      </c>
      <c r="G10" s="23" t="n">
        <f aca="false">[55]output_table!h5/100</f>
        <v>0.160604780669077</v>
      </c>
    </row>
    <row r="11" customFormat="false" ht="15.75" hidden="false" customHeight="true" outlineLevel="0" collapsed="false">
      <c r="A11" s="20" t="s">
        <v>95</v>
      </c>
      <c r="B11" s="21" t="n">
        <f aca="false">[54]output_table!f6/100</f>
        <v>0.00703705436951999</v>
      </c>
      <c r="C11" s="22" t="n">
        <f aca="false">[54]output_table!g6/100</f>
        <v>0.00691690343866086</v>
      </c>
      <c r="D11" s="23" t="n">
        <f aca="false">[54]output_table!h6/100</f>
        <v>0.000120150930859128</v>
      </c>
      <c r="E11" s="21" t="n">
        <f aca="false">[55]output_table!f6/100</f>
        <v>0.00685953458538268</v>
      </c>
      <c r="F11" s="22" t="n">
        <f aca="false">[55]output_table!g6/100</f>
        <v>-0.0015953000174914</v>
      </c>
      <c r="G11" s="23" t="n">
        <f aca="false">[55]output_table!h6/100</f>
        <v>0.00845483460287408</v>
      </c>
    </row>
    <row r="12" customFormat="false" ht="15.75" hidden="false" customHeight="true" outlineLevel="0" collapsed="false">
      <c r="A12" s="20" t="s">
        <v>96</v>
      </c>
      <c r="B12" s="21" t="n">
        <f aca="false">[54]output_table!f7/100</f>
        <v>-0.687750470961296</v>
      </c>
      <c r="C12" s="22" t="n">
        <f aca="false">[54]output_table!g7/100</f>
        <v>-1.03698794253575</v>
      </c>
      <c r="D12" s="23" t="n">
        <f aca="false">[54]output_table!h7/100</f>
        <v>0.349237471574451</v>
      </c>
      <c r="E12" s="21" t="n">
        <f aca="false">[55]output_table!f7/100</f>
        <v>-0.185404906239554</v>
      </c>
      <c r="F12" s="22" t="n">
        <f aca="false">[55]output_table!g7/100</f>
        <v>-0.252364556674054</v>
      </c>
      <c r="G12" s="23" t="n">
        <f aca="false">[55]output_table!h7/100</f>
        <v>0.0669596504345001</v>
      </c>
    </row>
    <row r="13" customFormat="false" ht="15.75" hidden="false" customHeight="true" outlineLevel="0" collapsed="false">
      <c r="A13" s="20" t="s">
        <v>97</v>
      </c>
      <c r="B13" s="21" t="n">
        <f aca="false">[54]output_table!f8/100</f>
        <v>-0.877844961483615</v>
      </c>
      <c r="C13" s="22" t="n">
        <f aca="false">[54]output_table!g8/100</f>
        <v>-0.544075554034306</v>
      </c>
      <c r="D13" s="23" t="n">
        <f aca="false">[54]output_table!h8/100</f>
        <v>-0.333769407449309</v>
      </c>
      <c r="E13" s="21" t="n">
        <f aca="false">[55]output_table!f8/100</f>
        <v>-0.565165083099801</v>
      </c>
      <c r="F13" s="22" t="n">
        <f aca="false">[55]output_table!g8/100</f>
        <v>-0.271465295738638</v>
      </c>
      <c r="G13" s="23" t="n">
        <f aca="false">[55]output_table!h8/100</f>
        <v>-0.293699787361163</v>
      </c>
    </row>
    <row r="14" customFormat="false" ht="15.75" hidden="false" customHeight="true" outlineLevel="0" collapsed="false">
      <c r="A14" s="20" t="s">
        <v>98</v>
      </c>
      <c r="B14" s="21" t="n">
        <f aca="false">[54]output_table!f9/100</f>
        <v>-0.59664553793865</v>
      </c>
      <c r="C14" s="22" t="n">
        <f aca="false">[54]output_table!g9/100</f>
        <v>-1.21260499546549</v>
      </c>
      <c r="D14" s="23" t="n">
        <f aca="false">[54]output_table!h9/100</f>
        <v>0.615959457526842</v>
      </c>
      <c r="E14" s="21" t="n">
        <f aca="false">[55]output_table!f9/100</f>
        <v>-0.221663772312658</v>
      </c>
      <c r="F14" s="22" t="n">
        <f aca="false">[55]output_table!g9/100</f>
        <v>-0.310105083624342</v>
      </c>
      <c r="G14" s="23" t="n">
        <f aca="false">[55]output_table!h9/100</f>
        <v>0.088441311311684</v>
      </c>
    </row>
    <row r="15" customFormat="false" ht="15.75" hidden="false" customHeight="true" outlineLevel="0" collapsed="false">
      <c r="A15" s="20" t="s">
        <v>99</v>
      </c>
      <c r="B15" s="21" t="n">
        <f aca="false">[54]output_table!f10/100</f>
        <v>-0.437613268463589</v>
      </c>
      <c r="C15" s="22" t="n">
        <f aca="false">[54]output_table!g10/100</f>
        <v>0.574525423926411</v>
      </c>
      <c r="D15" s="23" t="n">
        <f aca="false">[54]output_table!h10/100</f>
        <v>-1.01213869239</v>
      </c>
      <c r="E15" s="21" t="n">
        <f aca="false">[55]output_table!f10/100</f>
        <v>-0.137750220644569</v>
      </c>
      <c r="F15" s="22" t="n">
        <f aca="false">[55]output_table!g10/100</f>
        <v>0.103597349430215</v>
      </c>
      <c r="G15" s="23" t="n">
        <f aca="false">[55]output_table!h10/100</f>
        <v>-0.241347570074785</v>
      </c>
    </row>
    <row r="16" customFormat="false" ht="15.75" hidden="false" customHeight="true" outlineLevel="0" collapsed="false">
      <c r="A16" s="20" t="s">
        <v>100</v>
      </c>
      <c r="B16" s="21" t="n">
        <f aca="false">[54]output_table!f11/100</f>
        <v>-0.735208686722026</v>
      </c>
      <c r="C16" s="22" t="n">
        <f aca="false">[54]output_table!g11/100</f>
        <v>-0.856206316426167</v>
      </c>
      <c r="D16" s="23" t="n">
        <f aca="false">[54]output_table!h11/100</f>
        <v>0.120997629704141</v>
      </c>
      <c r="E16" s="21" t="n">
        <f aca="false">[55]output_table!f11/100</f>
        <v>-0.285690673207729</v>
      </c>
      <c r="F16" s="22" t="n">
        <f aca="false">[55]output_table!g11/100</f>
        <v>-0.192062867496044</v>
      </c>
      <c r="G16" s="23" t="n">
        <f aca="false">[55]output_table!h11/100</f>
        <v>-0.0936278057116847</v>
      </c>
    </row>
    <row r="17" customFormat="false" ht="15.75" hidden="false" customHeight="true" outlineLevel="0" collapsed="false">
      <c r="A17" s="20" t="s">
        <v>101</v>
      </c>
      <c r="B17" s="21" t="n">
        <f aca="false">[54]output_table!f12/100</f>
        <v>-0.572110635552616</v>
      </c>
      <c r="C17" s="22" t="n">
        <f aca="false">[54]output_table!g12/100</f>
        <v>-0.122993973063135</v>
      </c>
      <c r="D17" s="23" t="n">
        <f aca="false">[54]output_table!h12/100</f>
        <v>-0.449116662489481</v>
      </c>
      <c r="E17" s="21" t="n">
        <f aca="false">[55]output_table!f12/100</f>
        <v>-0.0594401104670541</v>
      </c>
      <c r="F17" s="22" t="n">
        <f aca="false">[55]output_table!g12/100</f>
        <v>0.15554630684484</v>
      </c>
      <c r="G17" s="23" t="n">
        <f aca="false">[55]output_table!h12/100</f>
        <v>-0.214986417311894</v>
      </c>
    </row>
    <row r="18" customFormat="false" ht="15.75" hidden="false" customHeight="true" outlineLevel="0" collapsed="false">
      <c r="A18" s="20" t="s">
        <v>102</v>
      </c>
      <c r="B18" s="21" t="n">
        <f aca="false">[54]output_table!f13/100</f>
        <v>-0.378638395176289</v>
      </c>
      <c r="C18" s="22" t="n">
        <f aca="false">[54]output_table!g13/100</f>
        <v>-0.175199583438792</v>
      </c>
      <c r="D18" s="23" t="n">
        <f aca="false">[54]output_table!h13/100</f>
        <v>-0.203438811737496</v>
      </c>
      <c r="E18" s="21" t="n">
        <f aca="false">[55]output_table!f13/100</f>
        <v>-0.0521219667440007</v>
      </c>
      <c r="F18" s="22" t="n">
        <f aca="false">[55]output_table!g13/100</f>
        <v>-0.00582801298973885</v>
      </c>
      <c r="G18" s="23" t="n">
        <f aca="false">[55]output_table!h13/100</f>
        <v>-0.0462939537542619</v>
      </c>
    </row>
    <row r="19" customFormat="false" ht="15.75" hidden="false" customHeight="true" outlineLevel="0" collapsed="false">
      <c r="A19" s="20" t="s">
        <v>103</v>
      </c>
      <c r="B19" s="21" t="n">
        <f aca="false">[54]output_table!f14/100</f>
        <v>-0.705836055853548</v>
      </c>
      <c r="C19" s="22" t="n">
        <f aca="false">[54]output_table!g14/100</f>
        <v>-1.0121423428337</v>
      </c>
      <c r="D19" s="23" t="n">
        <f aca="false">[54]output_table!h14/100</f>
        <v>0.306306286980154</v>
      </c>
      <c r="E19" s="21" t="n">
        <f aca="false">[55]output_table!f14/100</f>
        <v>-0.455650307090274</v>
      </c>
      <c r="F19" s="22" t="n">
        <f aca="false">[55]output_table!g14/100</f>
        <v>-0.288714247265307</v>
      </c>
      <c r="G19" s="23" t="n">
        <f aca="false">[55]output_table!h14/100</f>
        <v>-0.166936059824967</v>
      </c>
    </row>
    <row r="20" customFormat="false" ht="15.75" hidden="false" customHeight="true" outlineLevel="0" collapsed="false">
      <c r="A20" s="20" t="s">
        <v>104</v>
      </c>
      <c r="B20" s="21" t="n">
        <f aca="false">[54]output_table!f15/100</f>
        <v>-0.489265388074369</v>
      </c>
      <c r="C20" s="22" t="n">
        <f aca="false">[54]output_table!g15/100</f>
        <v>0.426322822915167</v>
      </c>
      <c r="D20" s="23" t="n">
        <f aca="false">[54]output_table!h15/100</f>
        <v>-0.915588210989536</v>
      </c>
      <c r="E20" s="21" t="n">
        <f aca="false">[55]output_table!f15/100</f>
        <v>-0.15417278391941</v>
      </c>
      <c r="F20" s="22" t="n">
        <f aca="false">[55]output_table!g15/100</f>
        <v>0.0899078529366727</v>
      </c>
      <c r="G20" s="23" t="n">
        <f aca="false">[55]output_table!h15/100</f>
        <v>-0.244080636856083</v>
      </c>
    </row>
    <row r="21" customFormat="false" ht="15.75" hidden="false" customHeight="true" outlineLevel="0" collapsed="false">
      <c r="A21" s="20" t="s">
        <v>105</v>
      </c>
      <c r="B21" s="21" t="n">
        <f aca="false">[54]output_table!f16/100</f>
        <v>-0.105358678777485</v>
      </c>
      <c r="C21" s="22" t="n">
        <f aca="false">[54]output_table!g16/100</f>
        <v>0.0915303477446509</v>
      </c>
      <c r="D21" s="23" t="n">
        <f aca="false">[54]output_table!h16/100</f>
        <v>-0.196889026522136</v>
      </c>
      <c r="E21" s="21" t="n">
        <f aca="false">[55]output_table!f16/100</f>
        <v>0.0122338089054342</v>
      </c>
      <c r="F21" s="22" t="n">
        <f aca="false">[55]output_table!g16/100</f>
        <v>0.0470394667257341</v>
      </c>
      <c r="G21" s="23" t="n">
        <f aca="false">[55]output_table!h16/100</f>
        <v>-0.0348056578202998</v>
      </c>
    </row>
    <row r="22" customFormat="false" ht="15.75" hidden="false" customHeight="true" outlineLevel="0" collapsed="false">
      <c r="A22" s="20" t="s">
        <v>106</v>
      </c>
      <c r="B22" s="21" t="n">
        <f aca="false">[54]output_table!f17/100</f>
        <v>-0.748023312458015</v>
      </c>
      <c r="C22" s="22" t="n">
        <f aca="false">[54]output_table!g17/100</f>
        <v>-1.46451375262106</v>
      </c>
      <c r="D22" s="23" t="n">
        <f aca="false">[54]output_table!h17/100</f>
        <v>0.716490440163041</v>
      </c>
      <c r="E22" s="21" t="n">
        <f aca="false">[55]output_table!f17/100</f>
        <v>-0.331438500709249</v>
      </c>
      <c r="F22" s="22" t="n">
        <f aca="false">[55]output_table!g17/100</f>
        <v>-0.438014034880043</v>
      </c>
      <c r="G22" s="23" t="n">
        <f aca="false">[55]output_table!h17/100</f>
        <v>0.106575534170795</v>
      </c>
    </row>
    <row r="23" customFormat="false" ht="15.75" hidden="false" customHeight="true" outlineLevel="0" collapsed="false">
      <c r="A23" s="20" t="s">
        <v>107</v>
      </c>
      <c r="B23" s="21" t="n">
        <f aca="false">[54]output_table!f18/100</f>
        <v>-0.852391496013064</v>
      </c>
      <c r="C23" s="22" t="n">
        <f aca="false">[54]output_table!g18/100</f>
        <v>-1.5121306214398</v>
      </c>
      <c r="D23" s="23" t="n">
        <f aca="false">[54]output_table!h18/100</f>
        <v>0.659739125426737</v>
      </c>
      <c r="E23" s="21" t="n">
        <f aca="false">[55]output_table!f18/100</f>
        <v>-0.53338960281608</v>
      </c>
      <c r="F23" s="22" t="n">
        <f aca="false">[55]output_table!g18/100</f>
        <v>-0.899121368380541</v>
      </c>
      <c r="G23" s="23" t="n">
        <f aca="false">[55]output_table!h18/100</f>
        <v>0.365731765564461</v>
      </c>
    </row>
    <row r="24" customFormat="false" ht="15.75" hidden="false" customHeight="true" outlineLevel="0" collapsed="false">
      <c r="A24" s="20" t="s">
        <v>108</v>
      </c>
      <c r="B24" s="21" t="n">
        <f aca="false">[54]output_table!f19/100</f>
        <v>-0.613974821982836</v>
      </c>
      <c r="C24" s="22" t="n">
        <f aca="false">[54]output_table!g19/100</f>
        <v>-1.36331547703165</v>
      </c>
      <c r="D24" s="23" t="n">
        <f aca="false">[54]output_table!h19/100</f>
        <v>0.74934065504881</v>
      </c>
      <c r="E24" s="21" t="n">
        <f aca="false">[55]output_table!f19/100</f>
        <v>-0.11919619690761</v>
      </c>
      <c r="F24" s="22" t="n">
        <f aca="false">[55]output_table!g19/100</f>
        <v>-0.361527256246215</v>
      </c>
      <c r="G24" s="23" t="n">
        <f aca="false">[55]output_table!h19/100</f>
        <v>0.242331059338605</v>
      </c>
    </row>
    <row r="25" customFormat="false" ht="15.75" hidden="false" customHeight="true" outlineLevel="0" collapsed="false">
      <c r="A25" s="20" t="s">
        <v>109</v>
      </c>
      <c r="B25" s="21" t="n">
        <f aca="false">[54]output_table!f20/100</f>
        <v>-0.431539115860251</v>
      </c>
      <c r="C25" s="22" t="n">
        <f aca="false">[54]output_table!g20/100</f>
        <v>-1.16825454332009</v>
      </c>
      <c r="D25" s="23" t="n">
        <f aca="false">[54]output_table!h20/100</f>
        <v>0.736715427459835</v>
      </c>
      <c r="E25" s="21" t="n">
        <f aca="false">[55]output_table!f20/100</f>
        <v>0.0497951038606629</v>
      </c>
      <c r="F25" s="22" t="n">
        <f aca="false">[55]output_table!g20/100</f>
        <v>-0.184784413066226</v>
      </c>
      <c r="G25" s="23" t="n">
        <f aca="false">[55]output_table!h20/100</f>
        <v>0.234579516926889</v>
      </c>
    </row>
    <row r="26" customFormat="false" ht="15.75" hidden="false" customHeight="true" outlineLevel="0" collapsed="false">
      <c r="A26" s="20" t="s">
        <v>110</v>
      </c>
      <c r="B26" s="21" t="n">
        <f aca="false">[54]output_table!f21/100</f>
        <v>0.0196258704713315</v>
      </c>
      <c r="C26" s="22" t="n">
        <f aca="false">[54]output_table!g21/100</f>
        <v>0.000564162461738484</v>
      </c>
      <c r="D26" s="23" t="n">
        <f aca="false">[54]output_table!h21/100</f>
        <v>0.019061708009593</v>
      </c>
      <c r="E26" s="21" t="n">
        <f aca="false">[55]output_table!f21/100</f>
        <v>0.0018255093630343</v>
      </c>
      <c r="F26" s="22" t="n">
        <f aca="false">[55]output_table!g21/100</f>
        <v>-0.0177008830992428</v>
      </c>
      <c r="G26" s="23" t="n">
        <f aca="false">[55]output_table!h21/100</f>
        <v>0.0195263924622772</v>
      </c>
    </row>
    <row r="27" customFormat="false" ht="15.75" hidden="false" customHeight="true" outlineLevel="0" collapsed="false">
      <c r="A27" s="20" t="s">
        <v>111</v>
      </c>
      <c r="B27" s="21" t="n">
        <f aca="false">[54]output_table!f22/100</f>
        <v>-0.222874521682159</v>
      </c>
      <c r="C27" s="22" t="n">
        <f aca="false">[54]output_table!g22/100</f>
        <v>-0.548672285741576</v>
      </c>
      <c r="D27" s="23" t="n">
        <f aca="false">[54]output_table!h22/100</f>
        <v>0.325797764059417</v>
      </c>
      <c r="E27" s="21" t="n">
        <f aca="false">[55]output_table!f22/100</f>
        <v>0.035726531364414</v>
      </c>
      <c r="F27" s="22" t="n">
        <f aca="false">[55]output_table!g22/100</f>
        <v>0.0447780142960186</v>
      </c>
      <c r="G27" s="23" t="n">
        <f aca="false">[55]output_table!h22/100</f>
        <v>-0.00905148293160464</v>
      </c>
    </row>
    <row r="28" customFormat="false" ht="15.75" hidden="false" customHeight="true" outlineLevel="0" collapsed="false">
      <c r="A28" s="20" t="s">
        <v>112</v>
      </c>
      <c r="B28" s="21" t="n">
        <f aca="false">[54]output_table!f23/100</f>
        <v>-0.908740640607595</v>
      </c>
      <c r="C28" s="22" t="n">
        <f aca="false">[54]output_table!g23/100</f>
        <v>-0.593775697219967</v>
      </c>
      <c r="D28" s="23" t="n">
        <f aca="false">[54]output_table!h23/100</f>
        <v>-0.314964943387628</v>
      </c>
      <c r="E28" s="21" t="n">
        <f aca="false">[55]output_table!f23/100</f>
        <v>-0.594193961025428</v>
      </c>
      <c r="F28" s="22" t="n">
        <f aca="false">[55]output_table!g23/100</f>
        <v>-0.224925283022025</v>
      </c>
      <c r="G28" s="23" t="n">
        <f aca="false">[55]output_table!h23/100</f>
        <v>-0.369268678003403</v>
      </c>
    </row>
    <row r="29" customFormat="false" ht="15.75" hidden="false" customHeight="true" outlineLevel="0" collapsed="false">
      <c r="A29" s="20" t="s">
        <v>113</v>
      </c>
      <c r="B29" s="21" t="n">
        <f aca="false">[54]output_table!f24/100</f>
        <v>-0.56726397623179</v>
      </c>
      <c r="C29" s="22" t="n">
        <f aca="false">[54]output_table!g24/100</f>
        <v>-0.621777050862891</v>
      </c>
      <c r="D29" s="23" t="n">
        <f aca="false">[54]output_table!h24/100</f>
        <v>0.0545130746311008</v>
      </c>
      <c r="E29" s="21" t="n">
        <f aca="false">[55]output_table!f24/100</f>
        <v>-0.274513111781875</v>
      </c>
      <c r="F29" s="22" t="n">
        <f aca="false">[55]output_table!g24/100</f>
        <v>-0.0921451104842669</v>
      </c>
      <c r="G29" s="23" t="n">
        <f aca="false">[55]output_table!h24/100</f>
        <v>-0.182368001297608</v>
      </c>
    </row>
    <row r="30" customFormat="false" ht="15.75" hidden="false" customHeight="true" outlineLevel="0" collapsed="false">
      <c r="A30" s="20" t="s">
        <v>114</v>
      </c>
      <c r="B30" s="21" t="n">
        <f aca="false">[54]output_table!f25/100</f>
        <v>-0.786598262593196</v>
      </c>
      <c r="C30" s="22" t="n">
        <f aca="false">[54]output_table!g25/100</f>
        <v>-0.494512667848739</v>
      </c>
      <c r="D30" s="23" t="n">
        <f aca="false">[54]output_table!h25/100</f>
        <v>-0.292085594744456</v>
      </c>
      <c r="E30" s="21" t="n">
        <f aca="false">[55]output_table!f25/100</f>
        <v>-0.353417446059145</v>
      </c>
      <c r="F30" s="22" t="n">
        <f aca="false">[55]output_table!g25/100</f>
        <v>-0.111732589346991</v>
      </c>
      <c r="G30" s="23" t="n">
        <f aca="false">[55]output_table!h25/100</f>
        <v>-0.241684856712154</v>
      </c>
    </row>
    <row r="31" customFormat="false" ht="15.75" hidden="false" customHeight="true" outlineLevel="0" collapsed="false">
      <c r="A31" s="24" t="s">
        <v>115</v>
      </c>
      <c r="B31" s="25" t="n">
        <f aca="false">[54]output_table!f26/100</f>
        <v>-0.00925451908309994</v>
      </c>
      <c r="C31" s="26" t="n">
        <f aca="false">[54]output_table!g26/100</f>
        <v>0.163029611087207</v>
      </c>
      <c r="D31" s="27" t="n">
        <f aca="false">[54]output_table!h26/100</f>
        <v>-0.172284130170306</v>
      </c>
      <c r="E31" s="25" t="n">
        <f aca="false">[55]output_table!f26/100</f>
        <v>0.00435528754233677</v>
      </c>
      <c r="F31" s="26" t="n">
        <f aca="false">[55]output_table!g26/100</f>
        <v>0.0375424044900677</v>
      </c>
      <c r="G31" s="27" t="n">
        <f aca="false">[55]output_table!h26/100</f>
        <v>-0.0331871169477309</v>
      </c>
    </row>
    <row r="32" customFormat="false" ht="12.8" hidden="false" customHeight="false" outlineLevel="0" collapsed="false">
      <c r="A32" s="10" t="s">
        <v>116</v>
      </c>
      <c r="B32" s="28" t="n">
        <f aca="false">AVERAGE(B7:B31)</f>
        <v>-0.52448801906439</v>
      </c>
      <c r="C32" s="28" t="n">
        <f aca="false">AVERAGE(C7:C31)</f>
        <v>-0.613904541135715</v>
      </c>
      <c r="D32" s="28" t="n">
        <f aca="false">AVERAGE(D7:D31)</f>
        <v>0.0894165220713258</v>
      </c>
      <c r="E32" s="28" t="n">
        <f aca="false">AVERAGE(E7:E31)</f>
        <v>-0.22459849468325</v>
      </c>
      <c r="F32" s="28" t="n">
        <f aca="false">AVERAGE(F7:F31)</f>
        <v>-0.213536525666406</v>
      </c>
      <c r="G32" s="28" t="n">
        <f aca="false">AVERAGE(G7:G31)</f>
        <v>-0.0110619690168442</v>
      </c>
    </row>
    <row r="33" customFormat="false" ht="12.8" hidden="false" customHeight="false" outlineLevel="0" collapsed="false"/>
    <row r="34" customFormat="false" ht="25.1" hidden="false" customHeight="true" outlineLevel="0" collapsed="false">
      <c r="A34" s="29" t="s">
        <v>117</v>
      </c>
      <c r="B34" s="29"/>
      <c r="C34" s="29"/>
      <c r="D34" s="29"/>
      <c r="E34" s="29"/>
      <c r="F34" s="29"/>
      <c r="G34" s="29"/>
    </row>
  </sheetData>
  <mergeCells count="3">
    <mergeCell ref="B5:D5"/>
    <mergeCell ref="E5:G5"/>
    <mergeCell ref="A34:G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D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51</v>
      </c>
    </row>
    <row r="3" customFormat="false" ht="15.75" hidden="false" customHeight="true" outlineLevel="0" collapsed="false">
      <c r="A3" s="10" t="str">
        <f aca="false">CONCATENATE("Title: Changes in average volatility due to measured changes in trade barriers, baseline calibration (",_xlfn.UNICHAR(952), " = 4) without input-output linkages.")</f>
        <v>Title: Changes in average volatility due to measured changes in trade barriers, baseline calibration (θ = 4) without input-output linkages.</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[56]output_table!f2/100</f>
        <v>0.0172837411746847</v>
      </c>
      <c r="C6" s="18" t="n">
        <f aca="false">[56]output_table!g2/100</f>
        <v>-0.00319861190268695</v>
      </c>
      <c r="D6" s="19" t="n">
        <f aca="false">[56]output_table!h2/100</f>
        <v>0.0204823530773717</v>
      </c>
    </row>
    <row r="7" customFormat="false" ht="15.75" hidden="false" customHeight="true" outlineLevel="0" collapsed="false">
      <c r="A7" s="20" t="s">
        <v>92</v>
      </c>
      <c r="B7" s="21" t="n">
        <f aca="false">[56]output_table!f3/100</f>
        <v>-0.0380836459747178</v>
      </c>
      <c r="C7" s="22" t="n">
        <f aca="false">[56]output_table!g3/100</f>
        <v>-0.0915721255699018</v>
      </c>
      <c r="D7" s="23" t="n">
        <f aca="false">[56]output_table!h3/100</f>
        <v>0.053488479595184</v>
      </c>
    </row>
    <row r="8" customFormat="false" ht="15.75" hidden="false" customHeight="true" outlineLevel="0" collapsed="false">
      <c r="A8" s="20" t="s">
        <v>93</v>
      </c>
      <c r="B8" s="21" t="n">
        <f aca="false">[56]output_table!f4/100</f>
        <v>-0.106898268307279</v>
      </c>
      <c r="C8" s="22" t="n">
        <f aca="false">[56]output_table!g4/100</f>
        <v>-0.345968727726989</v>
      </c>
      <c r="D8" s="23" t="n">
        <f aca="false">[56]output_table!h4/100</f>
        <v>0.23907045941971</v>
      </c>
    </row>
    <row r="9" customFormat="false" ht="15.75" hidden="false" customHeight="true" outlineLevel="0" collapsed="false">
      <c r="A9" s="20" t="s">
        <v>94</v>
      </c>
      <c r="B9" s="21" t="n">
        <f aca="false">[56]output_table!f5/100</f>
        <v>-0.0798928341748596</v>
      </c>
      <c r="C9" s="22" t="n">
        <f aca="false">[56]output_table!g5/100</f>
        <v>-0.0963795578217202</v>
      </c>
      <c r="D9" s="23" t="n">
        <f aca="false">[56]output_table!h5/100</f>
        <v>0.0164867236468606</v>
      </c>
    </row>
    <row r="10" customFormat="false" ht="15.75" hidden="false" customHeight="true" outlineLevel="0" collapsed="false">
      <c r="A10" s="20" t="s">
        <v>95</v>
      </c>
      <c r="B10" s="21" t="n">
        <f aca="false">[56]output_table!f6/100</f>
        <v>0.00842674226392593</v>
      </c>
      <c r="C10" s="22" t="n">
        <f aca="false">[56]output_table!g6/100</f>
        <v>0.00241718111389184</v>
      </c>
      <c r="D10" s="23" t="n">
        <f aca="false">[56]output_table!h6/100</f>
        <v>0.00600956115003408</v>
      </c>
    </row>
    <row r="11" customFormat="false" ht="15.75" hidden="false" customHeight="true" outlineLevel="0" collapsed="false">
      <c r="A11" s="20" t="s">
        <v>96</v>
      </c>
      <c r="B11" s="21" t="n">
        <f aca="false">[56]output_table!f7/100</f>
        <v>-0.0510442581296863</v>
      </c>
      <c r="C11" s="22" t="n">
        <f aca="false">[56]output_table!g7/100</f>
        <v>-0.0520461432895433</v>
      </c>
      <c r="D11" s="23" t="n">
        <f aca="false">[56]output_table!h7/100</f>
        <v>0.00100188515985698</v>
      </c>
    </row>
    <row r="12" customFormat="false" ht="15.75" hidden="false" customHeight="true" outlineLevel="0" collapsed="false">
      <c r="A12" s="20" t="s">
        <v>97</v>
      </c>
      <c r="B12" s="21" t="n">
        <f aca="false">[56]output_table!f8/100</f>
        <v>-0.120903505278588</v>
      </c>
      <c r="C12" s="22" t="n">
        <f aca="false">[56]output_table!g8/100</f>
        <v>-0.10446459171222</v>
      </c>
      <c r="D12" s="23" t="n">
        <f aca="false">[56]output_table!h8/100</f>
        <v>-0.0164389135663675</v>
      </c>
    </row>
    <row r="13" customFormat="false" ht="15.75" hidden="false" customHeight="true" outlineLevel="0" collapsed="false">
      <c r="A13" s="20" t="s">
        <v>98</v>
      </c>
      <c r="B13" s="21" t="n">
        <f aca="false">[56]output_table!f9/100</f>
        <v>-0.0304308689932293</v>
      </c>
      <c r="C13" s="22" t="n">
        <f aca="false">[56]output_table!g9/100</f>
        <v>-0.107763094450982</v>
      </c>
      <c r="D13" s="23" t="n">
        <f aca="false">[56]output_table!h9/100</f>
        <v>0.0773322254577526</v>
      </c>
    </row>
    <row r="14" customFormat="false" ht="15.75" hidden="false" customHeight="true" outlineLevel="0" collapsed="false">
      <c r="A14" s="20" t="s">
        <v>99</v>
      </c>
      <c r="B14" s="21" t="n">
        <f aca="false">[56]output_table!f10/100</f>
        <v>0.00658510789438875</v>
      </c>
      <c r="C14" s="22" t="n">
        <f aca="false">[56]output_table!g10/100</f>
        <v>0.000757242111892604</v>
      </c>
      <c r="D14" s="23" t="n">
        <f aca="false">[56]output_table!h10/100</f>
        <v>0.00582786578249614</v>
      </c>
    </row>
    <row r="15" customFormat="false" ht="15.75" hidden="false" customHeight="true" outlineLevel="0" collapsed="false">
      <c r="A15" s="20" t="s">
        <v>100</v>
      </c>
      <c r="B15" s="21" t="n">
        <f aca="false">[56]output_table!f11/100</f>
        <v>-0.0038627394525717</v>
      </c>
      <c r="C15" s="22" t="n">
        <f aca="false">[56]output_table!g11/100</f>
        <v>-0.0106081344076023</v>
      </c>
      <c r="D15" s="23" t="n">
        <f aca="false">[56]output_table!h11/100</f>
        <v>0.00674539495503061</v>
      </c>
    </row>
    <row r="16" customFormat="false" ht="15.75" hidden="false" customHeight="true" outlineLevel="0" collapsed="false">
      <c r="A16" s="20" t="s">
        <v>101</v>
      </c>
      <c r="B16" s="21" t="n">
        <f aca="false">[56]output_table!f12/100</f>
        <v>0.0393258894750502</v>
      </c>
      <c r="C16" s="22" t="n">
        <f aca="false">[56]output_table!g12/100</f>
        <v>-0.00355077050110087</v>
      </c>
      <c r="D16" s="23" t="n">
        <f aca="false">[56]output_table!h12/100</f>
        <v>0.0428766599761511</v>
      </c>
    </row>
    <row r="17" customFormat="false" ht="15.75" hidden="false" customHeight="true" outlineLevel="0" collapsed="false">
      <c r="A17" s="20" t="s">
        <v>102</v>
      </c>
      <c r="B17" s="21" t="n">
        <f aca="false">[56]output_table!f13/100</f>
        <v>0.00776664838882218</v>
      </c>
      <c r="C17" s="22" t="n">
        <f aca="false">[56]output_table!g13/100</f>
        <v>-0.00061667306699141</v>
      </c>
      <c r="D17" s="23" t="n">
        <f aca="false">[56]output_table!h13/100</f>
        <v>0.00838332145581359</v>
      </c>
    </row>
    <row r="18" customFormat="false" ht="15.75" hidden="false" customHeight="true" outlineLevel="0" collapsed="false">
      <c r="A18" s="20" t="s">
        <v>103</v>
      </c>
      <c r="B18" s="21" t="n">
        <f aca="false">[56]output_table!f14/100</f>
        <v>-0.136558569782093</v>
      </c>
      <c r="C18" s="22" t="n">
        <f aca="false">[56]output_table!g14/100</f>
        <v>-0.132610270682753</v>
      </c>
      <c r="D18" s="23" t="n">
        <f aca="false">[56]output_table!h14/100</f>
        <v>-0.00394829909934002</v>
      </c>
    </row>
    <row r="19" customFormat="false" ht="15.75" hidden="false" customHeight="true" outlineLevel="0" collapsed="false">
      <c r="A19" s="20" t="s">
        <v>104</v>
      </c>
      <c r="B19" s="21" t="n">
        <f aca="false">[56]output_table!f15/100</f>
        <v>0.0035294356790448</v>
      </c>
      <c r="C19" s="22" t="n">
        <f aca="false">[56]output_table!g15/100</f>
        <v>-0.00331740892958664</v>
      </c>
      <c r="D19" s="23" t="n">
        <f aca="false">[56]output_table!h15/100</f>
        <v>0.00684684460863144</v>
      </c>
    </row>
    <row r="20" customFormat="false" ht="15.75" hidden="false" customHeight="true" outlineLevel="0" collapsed="false">
      <c r="A20" s="20" t="s">
        <v>105</v>
      </c>
      <c r="B20" s="21" t="n">
        <f aca="false">[56]output_table!f16/100</f>
        <v>0.0125755727475125</v>
      </c>
      <c r="C20" s="22" t="n">
        <f aca="false">[56]output_table!g16/100</f>
        <v>0.000546745891750425</v>
      </c>
      <c r="D20" s="23" t="n">
        <f aca="false">[56]output_table!h16/100</f>
        <v>0.0120288268557621</v>
      </c>
    </row>
    <row r="21" customFormat="false" ht="15.75" hidden="false" customHeight="true" outlineLevel="0" collapsed="false">
      <c r="A21" s="20" t="s">
        <v>106</v>
      </c>
      <c r="B21" s="21" t="n">
        <f aca="false">[56]output_table!f17/100</f>
        <v>-0.211073897781544</v>
      </c>
      <c r="C21" s="22" t="n">
        <f aca="false">[56]output_table!g17/100</f>
        <v>-0.369920109813683</v>
      </c>
      <c r="D21" s="23" t="n">
        <f aca="false">[56]output_table!h17/100</f>
        <v>0.158846212032139</v>
      </c>
    </row>
    <row r="22" customFormat="false" ht="15.75" hidden="false" customHeight="true" outlineLevel="0" collapsed="false">
      <c r="A22" s="20" t="s">
        <v>107</v>
      </c>
      <c r="B22" s="21" t="n">
        <f aca="false">[56]output_table!f18/100</f>
        <v>-0.0480281915531282</v>
      </c>
      <c r="C22" s="22" t="n">
        <f aca="false">[56]output_table!g18/100</f>
        <v>-0.12850833650902</v>
      </c>
      <c r="D22" s="23" t="n">
        <f aca="false">[56]output_table!h18/100</f>
        <v>0.080480144955892</v>
      </c>
    </row>
    <row r="23" customFormat="false" ht="15.75" hidden="false" customHeight="true" outlineLevel="0" collapsed="false">
      <c r="A23" s="20" t="s">
        <v>108</v>
      </c>
      <c r="B23" s="21" t="n">
        <f aca="false">[56]output_table!f19/100</f>
        <v>-0.0702653037357378</v>
      </c>
      <c r="C23" s="22" t="n">
        <f aca="false">[56]output_table!g19/100</f>
        <v>-0.0913450798258572</v>
      </c>
      <c r="D23" s="23" t="n">
        <f aca="false">[56]output_table!h19/100</f>
        <v>0.0210797760901194</v>
      </c>
    </row>
    <row r="24" customFormat="false" ht="15.75" hidden="false" customHeight="true" outlineLevel="0" collapsed="false">
      <c r="A24" s="20" t="s">
        <v>109</v>
      </c>
      <c r="B24" s="21" t="n">
        <f aca="false">[56]output_table!f20/100</f>
        <v>0.0244188679539382</v>
      </c>
      <c r="C24" s="22" t="n">
        <f aca="false">[56]output_table!g20/100</f>
        <v>-0.0934000636965661</v>
      </c>
      <c r="D24" s="23" t="n">
        <f aca="false">[56]output_table!h20/100</f>
        <v>0.117818931650504</v>
      </c>
    </row>
    <row r="25" customFormat="false" ht="15.75" hidden="false" customHeight="true" outlineLevel="0" collapsed="false">
      <c r="A25" s="20" t="s">
        <v>110</v>
      </c>
      <c r="B25" s="21" t="n">
        <f aca="false">[56]output_table!f21/100</f>
        <v>0.0022213897052527</v>
      </c>
      <c r="C25" s="22" t="n">
        <f aca="false">[56]output_table!g21/100</f>
        <v>-0.00310204459232675</v>
      </c>
      <c r="D25" s="23" t="n">
        <f aca="false">[56]output_table!h21/100</f>
        <v>0.00532343429757945</v>
      </c>
    </row>
    <row r="26" customFormat="false" ht="15.75" hidden="false" customHeight="true" outlineLevel="0" collapsed="false">
      <c r="A26" s="20" t="s">
        <v>111</v>
      </c>
      <c r="B26" s="21" t="n">
        <f aca="false">[56]output_table!f22/100</f>
        <v>-0.0236065735054953</v>
      </c>
      <c r="C26" s="22" t="n">
        <f aca="false">[56]output_table!g22/100</f>
        <v>-0.0186780724144693</v>
      </c>
      <c r="D26" s="23" t="n">
        <f aca="false">[56]output_table!h22/100</f>
        <v>-0.00492850109102598</v>
      </c>
    </row>
    <row r="27" customFormat="false" ht="15.75" hidden="false" customHeight="true" outlineLevel="0" collapsed="false">
      <c r="A27" s="20" t="s">
        <v>112</v>
      </c>
      <c r="B27" s="21" t="n">
        <f aca="false">[56]output_table!f23/100</f>
        <v>-0.0612471966576379</v>
      </c>
      <c r="C27" s="22" t="n">
        <f aca="false">[56]output_table!g23/100</f>
        <v>-0.0326067932337489</v>
      </c>
      <c r="D27" s="23" t="n">
        <f aca="false">[56]output_table!h23/100</f>
        <v>-0.028640403423889</v>
      </c>
    </row>
    <row r="28" customFormat="false" ht="15.75" hidden="false" customHeight="true" outlineLevel="0" collapsed="false">
      <c r="A28" s="20" t="s">
        <v>113</v>
      </c>
      <c r="B28" s="21" t="n">
        <f aca="false">[56]output_table!f24/100</f>
        <v>0.00401976894184059</v>
      </c>
      <c r="C28" s="22" t="n">
        <f aca="false">[56]output_table!g24/100</f>
        <v>-0.0445960375263286</v>
      </c>
      <c r="D28" s="23" t="n">
        <f aca="false">[56]output_table!h24/100</f>
        <v>0.0486158064681692</v>
      </c>
    </row>
    <row r="29" customFormat="false" ht="15.75" hidden="false" customHeight="true" outlineLevel="0" collapsed="false">
      <c r="A29" s="20" t="s">
        <v>114</v>
      </c>
      <c r="B29" s="21" t="n">
        <f aca="false">[56]output_table!f25/100</f>
        <v>-0.0178200567335503</v>
      </c>
      <c r="C29" s="22" t="n">
        <f aca="false">[56]output_table!g25/100</f>
        <v>-0.026340787952333</v>
      </c>
      <c r="D29" s="23" t="n">
        <f aca="false">[56]output_table!h25/100</f>
        <v>0.00852073121878272</v>
      </c>
    </row>
    <row r="30" customFormat="false" ht="15.75" hidden="false" customHeight="true" outlineLevel="0" collapsed="false">
      <c r="A30" s="24" t="s">
        <v>115</v>
      </c>
      <c r="B30" s="25" t="n">
        <f aca="false">[56]output_table!f26/100</f>
        <v>0.00352845201842609</v>
      </c>
      <c r="C30" s="26" t="n">
        <f aca="false">[56]output_table!g26/100</f>
        <v>0.00116977869278286</v>
      </c>
      <c r="D30" s="27" t="n">
        <f aca="false">[56]output_table!h26/100</f>
        <v>0.00235867332564323</v>
      </c>
    </row>
    <row r="31" customFormat="false" ht="12.8" hidden="false" customHeight="false" outlineLevel="0" collapsed="false">
      <c r="A31" s="10" t="s">
        <v>116</v>
      </c>
      <c r="B31" s="28" t="n">
        <f aca="false">AVERAGE(B6:B30)</f>
        <v>-0.0348013717526893</v>
      </c>
      <c r="C31" s="28" t="n">
        <f aca="false">AVERAGE(C6:C30)</f>
        <v>-0.0702280995126437</v>
      </c>
      <c r="D31" s="28" t="n">
        <f aca="false">AVERAGE(D6:D30)</f>
        <v>0.0354267277599545</v>
      </c>
    </row>
    <row r="32" customFormat="false" ht="12.8" hidden="false" customHeight="false" outlineLevel="0" collapsed="false"/>
    <row r="33" customFormat="false" ht="36.8" hidden="false" customHeight="true" outlineLevel="0" collapsed="false">
      <c r="A33" s="29" t="s">
        <v>117</v>
      </c>
      <c r="B33" s="29"/>
      <c r="C33" s="29"/>
      <c r="D33" s="29"/>
    </row>
  </sheetData>
  <mergeCells count="1">
    <mergeCell ref="A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J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75" zeroHeight="false" outlineLevelRow="0" outlineLevelCol="0"/>
  <cols>
    <col collapsed="false" customWidth="true" hidden="false" outlineLevel="0" max="1" min="1" style="10" width="22.86"/>
    <col collapsed="false" customWidth="true" hidden="false" outlineLevel="0" max="10" min="2" style="10" width="20.71"/>
    <col collapsed="false" customWidth="true" hidden="false" outlineLevel="0" max="1025" min="11" style="10" width="14.43"/>
  </cols>
  <sheetData>
    <row r="1" customFormat="false" ht="15.75" hidden="false" customHeight="true" outlineLevel="0" collapsed="false">
      <c r="A1" s="10" t="s">
        <v>55</v>
      </c>
    </row>
    <row r="3" customFormat="false" ht="15.75" hidden="false" customHeight="true" outlineLevel="0" collapsed="false">
      <c r="A3" s="10" t="str">
        <f aca="false">CONCATENATE("Title: Changes in average volatility due to measured changes in trade barriers, baseline calibration (",_xlfn.UNICHAR(952), " = 4) with ex post sectoral reallocation costs")</f>
        <v>Title: Changes in average volatility due to measured changes in trade barriers, baseline calibration (θ = 4) with ex post sectoral reallocation costs</v>
      </c>
    </row>
    <row r="5" customFormat="false" ht="15.75" hidden="false" customHeight="true" outlineLevel="0" collapsed="false">
      <c r="B5" s="30" t="str">
        <f aca="false">CONCATENATE(_xlfn.UNICHAR(961)," = 0.0005")</f>
        <v>ρ = 0.0005</v>
      </c>
      <c r="C5" s="30"/>
      <c r="D5" s="30"/>
      <c r="E5" s="30" t="str">
        <f aca="false">CONCATENATE(_xlfn.UNICHAR(961)," = 0.001")</f>
        <v>ρ = 0.001</v>
      </c>
      <c r="F5" s="30"/>
      <c r="G5" s="30"/>
      <c r="H5" s="30" t="str">
        <f aca="false">CONCATENATE(_xlfn.UNICHAR(961)," = 0.002")</f>
        <v>ρ = 0.002</v>
      </c>
      <c r="I5" s="30"/>
      <c r="J5" s="30"/>
    </row>
    <row r="6" customFormat="false" ht="41.25" hidden="false" customHeight="true" outlineLevel="0" collapsed="false">
      <c r="A6" s="12"/>
      <c r="B6" s="13" t="s">
        <v>88</v>
      </c>
      <c r="C6" s="14" t="s">
        <v>89</v>
      </c>
      <c r="D6" s="15" t="s">
        <v>90</v>
      </c>
      <c r="E6" s="13" t="s">
        <v>88</v>
      </c>
      <c r="F6" s="14" t="s">
        <v>89</v>
      </c>
      <c r="G6" s="15" t="s">
        <v>90</v>
      </c>
      <c r="H6" s="13" t="s">
        <v>88</v>
      </c>
      <c r="I6" s="14" t="s">
        <v>89</v>
      </c>
      <c r="J6" s="15" t="s">
        <v>90</v>
      </c>
    </row>
    <row r="7" customFormat="false" ht="15.75" hidden="false" customHeight="true" outlineLevel="0" collapsed="false">
      <c r="A7" s="16" t="s">
        <v>91</v>
      </c>
      <c r="B7" s="17" t="n">
        <f aca="false">[57]output_table!f2/100</f>
        <v>-0.0254151025916714</v>
      </c>
      <c r="C7" s="18" t="n">
        <f aca="false">[57]output_table!g2/100</f>
        <v>-0.00887218894671668</v>
      </c>
      <c r="D7" s="19" t="n">
        <f aca="false">[57]output_table!h2/100</f>
        <v>-0.0165429136449547</v>
      </c>
      <c r="E7" s="17" t="n">
        <f aca="false">[58]output_table!f2/100</f>
        <v>-0.0265304628612027</v>
      </c>
      <c r="F7" s="18" t="n">
        <f aca="false">[58]output_table!g2/100</f>
        <v>-0.00936212592364665</v>
      </c>
      <c r="G7" s="19" t="n">
        <f aca="false">[58]output_table!h2/100</f>
        <v>-0.0171683369375562</v>
      </c>
      <c r="H7" s="17" t="n">
        <f aca="false">[59]output_table!f2/100</f>
        <v>-0.028776599435869</v>
      </c>
      <c r="I7" s="18" t="n">
        <f aca="false">[59]output_table!g2/100</f>
        <v>-0.0101915985402759</v>
      </c>
      <c r="J7" s="19" t="n">
        <f aca="false">[59]output_table!h2/100</f>
        <v>-0.0185850008955931</v>
      </c>
    </row>
    <row r="8" customFormat="false" ht="15.75" hidden="false" customHeight="true" outlineLevel="0" collapsed="false">
      <c r="A8" s="20" t="s">
        <v>92</v>
      </c>
      <c r="B8" s="21" t="n">
        <f aca="false">[57]output_table!f3/100</f>
        <v>-0.423395418486986</v>
      </c>
      <c r="C8" s="22" t="n">
        <f aca="false">[57]output_table!g3/100</f>
        <v>-1.18759357575777</v>
      </c>
      <c r="D8" s="23" t="n">
        <f aca="false">[57]output_table!h3/100</f>
        <v>0.76419815727078</v>
      </c>
      <c r="E8" s="21" t="n">
        <f aca="false">[58]output_table!f3/100</f>
        <v>-0.423673049961418</v>
      </c>
      <c r="F8" s="22" t="n">
        <f aca="false">[58]output_table!g3/100</f>
        <v>-1.18586483091543</v>
      </c>
      <c r="G8" s="23" t="n">
        <f aca="false">[58]output_table!h3/100</f>
        <v>0.762191780954015</v>
      </c>
      <c r="H8" s="21" t="n">
        <f aca="false">[59]output_table!f3/100</f>
        <v>-0.419035338641848</v>
      </c>
      <c r="I8" s="22" t="n">
        <f aca="false">[59]output_table!g3/100</f>
        <v>-1.19411021822382</v>
      </c>
      <c r="J8" s="23" t="n">
        <f aca="false">[59]output_table!h3/100</f>
        <v>0.775074879581973</v>
      </c>
    </row>
    <row r="9" customFormat="false" ht="15.75" hidden="false" customHeight="true" outlineLevel="0" collapsed="false">
      <c r="A9" s="20" t="s">
        <v>93</v>
      </c>
      <c r="B9" s="21" t="n">
        <f aca="false">[57]output_table!f4/100</f>
        <v>-0.660455097765723</v>
      </c>
      <c r="C9" s="22" t="n">
        <f aca="false">[57]output_table!g4/100</f>
        <v>-1.07612704255589</v>
      </c>
      <c r="D9" s="23" t="n">
        <f aca="false">[57]output_table!h4/100</f>
        <v>0.415671944790171</v>
      </c>
      <c r="E9" s="21" t="n">
        <f aca="false">[58]output_table!f4/100</f>
        <v>-0.661038347691566</v>
      </c>
      <c r="F9" s="22" t="n">
        <f aca="false">[58]output_table!g4/100</f>
        <v>-1.07938202095158</v>
      </c>
      <c r="G9" s="23" t="n">
        <f aca="false">[58]output_table!h4/100</f>
        <v>0.418343673260012</v>
      </c>
      <c r="H9" s="21" t="n">
        <f aca="false">[59]output_table!f4/100</f>
        <v>-0.662045069556756</v>
      </c>
      <c r="I9" s="22" t="n">
        <f aca="false">[59]output_table!g4/100</f>
        <v>-1.08533363373645</v>
      </c>
      <c r="J9" s="23" t="n">
        <f aca="false">[59]output_table!h4/100</f>
        <v>0.423288564179696</v>
      </c>
    </row>
    <row r="10" customFormat="false" ht="15.75" hidden="false" customHeight="true" outlineLevel="0" collapsed="false">
      <c r="A10" s="20" t="s">
        <v>94</v>
      </c>
      <c r="B10" s="21" t="n">
        <f aca="false">[57]output_table!f5/100</f>
        <v>-0.729643565386666</v>
      </c>
      <c r="C10" s="22" t="n">
        <f aca="false">[57]output_table!g5/100</f>
        <v>-1.00466932785939</v>
      </c>
      <c r="D10" s="23" t="n">
        <f aca="false">[57]output_table!h5/100</f>
        <v>0.275025762472728</v>
      </c>
      <c r="E10" s="21" t="n">
        <f aca="false">[58]output_table!f5/100</f>
        <v>-0.73094860028228</v>
      </c>
      <c r="F10" s="22" t="n">
        <f aca="false">[58]output_table!g5/100</f>
        <v>-1.00249249482572</v>
      </c>
      <c r="G10" s="23" t="n">
        <f aca="false">[58]output_table!h5/100</f>
        <v>0.271543894543445</v>
      </c>
      <c r="H10" s="21" t="n">
        <f aca="false">[59]output_table!f5/100</f>
        <v>-0.732790770235201</v>
      </c>
      <c r="I10" s="22" t="n">
        <f aca="false">[59]output_table!g5/100</f>
        <v>-0.99558271296163</v>
      </c>
      <c r="J10" s="23" t="n">
        <f aca="false">[59]output_table!h5/100</f>
        <v>0.262791942726429</v>
      </c>
    </row>
    <row r="11" customFormat="false" ht="15.75" hidden="false" customHeight="true" outlineLevel="0" collapsed="false">
      <c r="A11" s="20" t="s">
        <v>95</v>
      </c>
      <c r="B11" s="21" t="n">
        <f aca="false">[57]output_table!f6/100</f>
        <v>0.0137544717329057</v>
      </c>
      <c r="C11" s="22" t="n">
        <f aca="false">[57]output_table!g6/100</f>
        <v>0.00446660813928497</v>
      </c>
      <c r="D11" s="23" t="n">
        <f aca="false">[57]output_table!h6/100</f>
        <v>0.0092878635936207</v>
      </c>
      <c r="E11" s="21" t="n">
        <f aca="false">[58]output_table!f6/100</f>
        <v>0.0140195564829186</v>
      </c>
      <c r="F11" s="22" t="n">
        <f aca="false">[58]output_table!g6/100</f>
        <v>0.00446789486709107</v>
      </c>
      <c r="G11" s="23" t="n">
        <f aca="false">[58]output_table!h6/100</f>
        <v>0.0095516616158275</v>
      </c>
      <c r="H11" s="21" t="n">
        <f aca="false">[59]output_table!f6/100</f>
        <v>0.0140840554224174</v>
      </c>
      <c r="I11" s="22" t="n">
        <f aca="false">[59]output_table!g6/100</f>
        <v>0.0044718171796748</v>
      </c>
      <c r="J11" s="23" t="n">
        <f aca="false">[59]output_table!h6/100</f>
        <v>0.00961223824274264</v>
      </c>
    </row>
    <row r="12" customFormat="false" ht="15.75" hidden="false" customHeight="true" outlineLevel="0" collapsed="false">
      <c r="A12" s="20" t="s">
        <v>96</v>
      </c>
      <c r="B12" s="21" t="n">
        <f aca="false">[57]output_table!f7/100</f>
        <v>-0.436862380647748</v>
      </c>
      <c r="C12" s="22" t="n">
        <f aca="false">[57]output_table!g7/100</f>
        <v>-0.613863512798427</v>
      </c>
      <c r="D12" s="23" t="n">
        <f aca="false">[57]output_table!h7/100</f>
        <v>0.177001132150679</v>
      </c>
      <c r="E12" s="21" t="n">
        <f aca="false">[58]output_table!f7/100</f>
        <v>-0.437221373927624</v>
      </c>
      <c r="F12" s="22" t="n">
        <f aca="false">[58]output_table!g7/100</f>
        <v>-0.609849241162703</v>
      </c>
      <c r="G12" s="23" t="n">
        <f aca="false">[58]output_table!h7/100</f>
        <v>0.172627867235079</v>
      </c>
      <c r="H12" s="21" t="n">
        <f aca="false">[59]output_table!f7/100</f>
        <v>-0.437975469997839</v>
      </c>
      <c r="I12" s="22" t="n">
        <f aca="false">[59]output_table!g7/100</f>
        <v>-0.607928269365496</v>
      </c>
      <c r="J12" s="23" t="n">
        <f aca="false">[59]output_table!h7/100</f>
        <v>0.169952799367657</v>
      </c>
    </row>
    <row r="13" customFormat="false" ht="15.75" hidden="false" customHeight="true" outlineLevel="0" collapsed="false">
      <c r="A13" s="20" t="s">
        <v>97</v>
      </c>
      <c r="B13" s="21" t="n">
        <f aca="false">[57]output_table!f8/100</f>
        <v>-0.781050138704082</v>
      </c>
      <c r="C13" s="22" t="n">
        <f aca="false">[57]output_table!g8/100</f>
        <v>-0.407085202199603</v>
      </c>
      <c r="D13" s="23" t="n">
        <f aca="false">[57]output_table!h8/100</f>
        <v>-0.373964936504479</v>
      </c>
      <c r="E13" s="21" t="n">
        <f aca="false">[58]output_table!f8/100</f>
        <v>-0.782112278813804</v>
      </c>
      <c r="F13" s="22" t="n">
        <f aca="false">[58]output_table!g8/100</f>
        <v>-0.408397348523603</v>
      </c>
      <c r="G13" s="23" t="n">
        <f aca="false">[58]output_table!h8/100</f>
        <v>-0.373714930290201</v>
      </c>
      <c r="H13" s="21" t="n">
        <f aca="false">[59]output_table!f8/100</f>
        <v>-0.783666858191965</v>
      </c>
      <c r="I13" s="22" t="n">
        <f aca="false">[59]output_table!g8/100</f>
        <v>-0.411113575797053</v>
      </c>
      <c r="J13" s="23" t="n">
        <f aca="false">[59]output_table!h8/100</f>
        <v>-0.372553282394912</v>
      </c>
    </row>
    <row r="14" customFormat="false" ht="15.75" hidden="false" customHeight="true" outlineLevel="0" collapsed="false">
      <c r="A14" s="20" t="s">
        <v>98</v>
      </c>
      <c r="B14" s="21" t="n">
        <f aca="false">[57]output_table!f9/100</f>
        <v>-0.37733883189738</v>
      </c>
      <c r="C14" s="22" t="n">
        <f aca="false">[57]output_table!g9/100</f>
        <v>-0.663077534591564</v>
      </c>
      <c r="D14" s="23" t="n">
        <f aca="false">[57]output_table!h9/100</f>
        <v>0.285738702694185</v>
      </c>
      <c r="E14" s="21" t="n">
        <f aca="false">[58]output_table!f9/100</f>
        <v>-0.37788926582177</v>
      </c>
      <c r="F14" s="22" t="n">
        <f aca="false">[58]output_table!g9/100</f>
        <v>-0.665835112983478</v>
      </c>
      <c r="G14" s="23" t="n">
        <f aca="false">[58]output_table!h9/100</f>
        <v>0.287945847161708</v>
      </c>
      <c r="H14" s="21" t="n">
        <f aca="false">[59]output_table!f9/100</f>
        <v>-0.378949201870487</v>
      </c>
      <c r="I14" s="22" t="n">
        <f aca="false">[59]output_table!g9/100</f>
        <v>-0.671919339068565</v>
      </c>
      <c r="J14" s="23" t="n">
        <f aca="false">[59]output_table!h9/100</f>
        <v>0.292970137198078</v>
      </c>
    </row>
    <row r="15" customFormat="false" ht="15.75" hidden="false" customHeight="true" outlineLevel="0" collapsed="false">
      <c r="A15" s="20" t="s">
        <v>99</v>
      </c>
      <c r="B15" s="21" t="n">
        <f aca="false">[57]output_table!f10/100</f>
        <v>-0.24963947126269</v>
      </c>
      <c r="C15" s="22" t="n">
        <f aca="false">[57]output_table!g10/100</f>
        <v>0.269586021738064</v>
      </c>
      <c r="D15" s="23" t="n">
        <f aca="false">[57]output_table!h10/100</f>
        <v>-0.519225493000753</v>
      </c>
      <c r="E15" s="21" t="n">
        <f aca="false">[58]output_table!f10/100</f>
        <v>-0.2489438328836</v>
      </c>
      <c r="F15" s="22" t="n">
        <f aca="false">[58]output_table!g10/100</f>
        <v>0.272817558472614</v>
      </c>
      <c r="G15" s="23" t="n">
        <f aca="false">[58]output_table!h10/100</f>
        <v>-0.521761391356214</v>
      </c>
      <c r="H15" s="21" t="n">
        <f aca="false">[59]output_table!f10/100</f>
        <v>-0.248154574723354</v>
      </c>
      <c r="I15" s="22" t="n">
        <f aca="false">[59]output_table!g10/100</f>
        <v>0.277179232962057</v>
      </c>
      <c r="J15" s="23" t="n">
        <f aca="false">[59]output_table!h10/100</f>
        <v>-0.525333807685412</v>
      </c>
    </row>
    <row r="16" customFormat="false" ht="15.75" hidden="false" customHeight="true" outlineLevel="0" collapsed="false">
      <c r="A16" s="20" t="s">
        <v>100</v>
      </c>
      <c r="B16" s="21" t="n">
        <f aca="false">[57]output_table!f11/100</f>
        <v>-0.534122825860835</v>
      </c>
      <c r="C16" s="22" t="n">
        <f aca="false">[57]output_table!g11/100</f>
        <v>-0.498162898016111</v>
      </c>
      <c r="D16" s="23" t="n">
        <f aca="false">[57]output_table!h11/100</f>
        <v>-0.0359599278447239</v>
      </c>
      <c r="E16" s="21" t="n">
        <f aca="false">[58]output_table!f11/100</f>
        <v>-0.536231979248809</v>
      </c>
      <c r="F16" s="22" t="n">
        <f aca="false">[58]output_table!g11/100</f>
        <v>-0.499306832048087</v>
      </c>
      <c r="G16" s="23" t="n">
        <f aca="false">[58]output_table!h11/100</f>
        <v>-0.0369251472007225</v>
      </c>
      <c r="H16" s="21" t="n">
        <f aca="false">[59]output_table!f11/100</f>
        <v>-0.53968707537346</v>
      </c>
      <c r="I16" s="22" t="n">
        <f aca="false">[59]output_table!g11/100</f>
        <v>-0.500721803456082</v>
      </c>
      <c r="J16" s="23" t="n">
        <f aca="false">[59]output_table!h11/100</f>
        <v>-0.0389652719173784</v>
      </c>
    </row>
    <row r="17" customFormat="false" ht="15.75" hidden="false" customHeight="true" outlineLevel="0" collapsed="false">
      <c r="A17" s="20" t="s">
        <v>101</v>
      </c>
      <c r="B17" s="21" t="n">
        <f aca="false">[57]output_table!f12/100</f>
        <v>-0.207126618575693</v>
      </c>
      <c r="C17" s="22" t="n">
        <f aca="false">[57]output_table!g12/100</f>
        <v>0.0743449621833616</v>
      </c>
      <c r="D17" s="23" t="n">
        <f aca="false">[57]output_table!h12/100</f>
        <v>-0.281471580759055</v>
      </c>
      <c r="E17" s="21" t="n">
        <f aca="false">[58]output_table!f12/100</f>
        <v>-0.197818410613804</v>
      </c>
      <c r="F17" s="22" t="n">
        <f aca="false">[58]output_table!g12/100</f>
        <v>0.0785696833779758</v>
      </c>
      <c r="G17" s="23" t="n">
        <f aca="false">[58]output_table!h12/100</f>
        <v>-0.27638809399178</v>
      </c>
      <c r="H17" s="21" t="n">
        <f aca="false">[59]output_table!f12/100</f>
        <v>-0.188925835756217</v>
      </c>
      <c r="I17" s="22" t="n">
        <f aca="false">[59]output_table!g12/100</f>
        <v>0.0804562015879305</v>
      </c>
      <c r="J17" s="23" t="n">
        <f aca="false">[59]output_table!h12/100</f>
        <v>-0.269382037344148</v>
      </c>
    </row>
    <row r="18" customFormat="false" ht="15.75" hidden="false" customHeight="true" outlineLevel="0" collapsed="false">
      <c r="A18" s="20" t="s">
        <v>102</v>
      </c>
      <c r="B18" s="21" t="n">
        <f aca="false">[57]output_table!f13/100</f>
        <v>-0.158868632766356</v>
      </c>
      <c r="C18" s="22" t="n">
        <f aca="false">[57]output_table!g13/100</f>
        <v>-0.0619482162448842</v>
      </c>
      <c r="D18" s="23" t="n">
        <f aca="false">[57]output_table!h13/100</f>
        <v>-0.0969204165214718</v>
      </c>
      <c r="E18" s="21" t="n">
        <f aca="false">[58]output_table!f13/100</f>
        <v>-0.15832502533872</v>
      </c>
      <c r="F18" s="22" t="n">
        <f aca="false">[58]output_table!g13/100</f>
        <v>-0.0618226907176582</v>
      </c>
      <c r="G18" s="23" t="n">
        <f aca="false">[58]output_table!h13/100</f>
        <v>-0.0965023346210622</v>
      </c>
      <c r="H18" s="21" t="n">
        <f aca="false">[59]output_table!f13/100</f>
        <v>-0.157624338271379</v>
      </c>
      <c r="I18" s="22" t="n">
        <f aca="false">[59]output_table!g13/100</f>
        <v>-0.062036054973402</v>
      </c>
      <c r="J18" s="23" t="n">
        <f aca="false">[59]output_table!h13/100</f>
        <v>-0.0955882832979768</v>
      </c>
    </row>
    <row r="19" customFormat="false" ht="15.75" hidden="false" customHeight="true" outlineLevel="0" collapsed="false">
      <c r="A19" s="20" t="s">
        <v>103</v>
      </c>
      <c r="B19" s="21" t="n">
        <f aca="false">[57]output_table!f14/100</f>
        <v>-0.589939505968451</v>
      </c>
      <c r="C19" s="22" t="n">
        <f aca="false">[57]output_table!g14/100</f>
        <v>-0.693481082268548</v>
      </c>
      <c r="D19" s="23" t="n">
        <f aca="false">[57]output_table!h14/100</f>
        <v>0.103541576300097</v>
      </c>
      <c r="E19" s="21" t="n">
        <f aca="false">[58]output_table!f14/100</f>
        <v>-0.588719585149642</v>
      </c>
      <c r="F19" s="22" t="n">
        <f aca="false">[58]output_table!g14/100</f>
        <v>-0.698630092573535</v>
      </c>
      <c r="G19" s="23" t="n">
        <f aca="false">[58]output_table!h14/100</f>
        <v>0.109910507423893</v>
      </c>
      <c r="H19" s="21" t="n">
        <f aca="false">[59]output_table!f14/100</f>
        <v>-0.58678267730608</v>
      </c>
      <c r="I19" s="22" t="n">
        <f aca="false">[59]output_table!g14/100</f>
        <v>-0.706904218688312</v>
      </c>
      <c r="J19" s="23" t="n">
        <f aca="false">[59]output_table!h14/100</f>
        <v>0.120121541382232</v>
      </c>
    </row>
    <row r="20" customFormat="false" ht="15.75" hidden="false" customHeight="true" outlineLevel="0" collapsed="false">
      <c r="A20" s="20" t="s">
        <v>104</v>
      </c>
      <c r="B20" s="21" t="n">
        <f aca="false">[57]output_table!f15/100</f>
        <v>-0.270555060678221</v>
      </c>
      <c r="C20" s="22" t="n">
        <f aca="false">[57]output_table!g15/100</f>
        <v>0.226494217025257</v>
      </c>
      <c r="D20" s="23" t="n">
        <f aca="false">[57]output_table!h15/100</f>
        <v>-0.497049277703478</v>
      </c>
      <c r="E20" s="21" t="n">
        <f aca="false">[58]output_table!f15/100</f>
        <v>-0.268725534394327</v>
      </c>
      <c r="F20" s="22" t="n">
        <f aca="false">[58]output_table!g15/100</f>
        <v>0.232870374809109</v>
      </c>
      <c r="G20" s="23" t="n">
        <f aca="false">[58]output_table!h15/100</f>
        <v>-0.501595909203436</v>
      </c>
      <c r="H20" s="21" t="n">
        <f aca="false">[59]output_table!f15/100</f>
        <v>-0.267946786144836</v>
      </c>
      <c r="I20" s="22" t="n">
        <f aca="false">[59]output_table!g15/100</f>
        <v>0.239230639788944</v>
      </c>
      <c r="J20" s="23" t="n">
        <f aca="false">[59]output_table!h15/100</f>
        <v>-0.50717742593378</v>
      </c>
    </row>
    <row r="21" customFormat="false" ht="15.75" hidden="false" customHeight="true" outlineLevel="0" collapsed="false">
      <c r="A21" s="20" t="s">
        <v>105</v>
      </c>
      <c r="B21" s="21" t="n">
        <f aca="false">[57]output_table!f16/100</f>
        <v>-0.0225755637982618</v>
      </c>
      <c r="C21" s="22" t="n">
        <f aca="false">[57]output_table!g16/100</f>
        <v>0.0784974555648832</v>
      </c>
      <c r="D21" s="23" t="n">
        <f aca="false">[57]output_table!h16/100</f>
        <v>-0.101073019363145</v>
      </c>
      <c r="E21" s="21" t="n">
        <f aca="false">[58]output_table!f16/100</f>
        <v>-0.0225790753915951</v>
      </c>
      <c r="F21" s="22" t="n">
        <f aca="false">[58]output_table!g16/100</f>
        <v>0.0788665060249623</v>
      </c>
      <c r="G21" s="23" t="n">
        <f aca="false">[58]output_table!h16/100</f>
        <v>-0.101445581416557</v>
      </c>
      <c r="H21" s="21" t="n">
        <f aca="false">[59]output_table!f16/100</f>
        <v>-0.0234779712430347</v>
      </c>
      <c r="I21" s="22" t="n">
        <f aca="false">[59]output_table!g16/100</f>
        <v>0.0789374127735619</v>
      </c>
      <c r="J21" s="23" t="n">
        <f aca="false">[59]output_table!h16/100</f>
        <v>-0.102415384016597</v>
      </c>
    </row>
    <row r="22" customFormat="false" ht="15.75" hidden="false" customHeight="true" outlineLevel="0" collapsed="false">
      <c r="A22" s="20" t="s">
        <v>106</v>
      </c>
      <c r="B22" s="21" t="n">
        <f aca="false">[57]output_table!f17/100</f>
        <v>-0.57387197878537</v>
      </c>
      <c r="C22" s="22" t="n">
        <f aca="false">[57]output_table!g17/100</f>
        <v>-0.922595678112533</v>
      </c>
      <c r="D22" s="23" t="n">
        <f aca="false">[57]output_table!h17/100</f>
        <v>0.348723699327163</v>
      </c>
      <c r="E22" s="21" t="n">
        <f aca="false">[58]output_table!f17/100</f>
        <v>-0.575339775034237</v>
      </c>
      <c r="F22" s="22" t="n">
        <f aca="false">[58]output_table!g17/100</f>
        <v>-0.916334069491596</v>
      </c>
      <c r="G22" s="23" t="n">
        <f aca="false">[58]output_table!h17/100</f>
        <v>0.340994294457359</v>
      </c>
      <c r="H22" s="21" t="n">
        <f aca="false">[59]output_table!f17/100</f>
        <v>-0.577253358017889</v>
      </c>
      <c r="I22" s="22" t="n">
        <f aca="false">[59]output_table!g17/100</f>
        <v>-0.908134775945137</v>
      </c>
      <c r="J22" s="23" t="n">
        <f aca="false">[59]output_table!h17/100</f>
        <v>0.330881417927248</v>
      </c>
    </row>
    <row r="23" customFormat="false" ht="15.75" hidden="false" customHeight="true" outlineLevel="0" collapsed="false">
      <c r="A23" s="20" t="s">
        <v>107</v>
      </c>
      <c r="B23" s="21" t="n">
        <f aca="false">[57]output_table!f18/100</f>
        <v>-0.73082265505502</v>
      </c>
      <c r="C23" s="22" t="n">
        <f aca="false">[57]output_table!g18/100</f>
        <v>-1.34726464586026</v>
      </c>
      <c r="D23" s="23" t="n">
        <f aca="false">[57]output_table!h18/100</f>
        <v>0.616441990805245</v>
      </c>
      <c r="E23" s="21" t="n">
        <f aca="false">[58]output_table!f18/100</f>
        <v>-0.732547826017017</v>
      </c>
      <c r="F23" s="22" t="n">
        <f aca="false">[58]output_table!g18/100</f>
        <v>-1.35413838691376</v>
      </c>
      <c r="G23" s="23" t="n">
        <f aca="false">[58]output_table!h18/100</f>
        <v>0.62159056089674</v>
      </c>
      <c r="H23" s="21" t="n">
        <f aca="false">[59]output_table!f18/100</f>
        <v>-0.735000478088596</v>
      </c>
      <c r="I23" s="22" t="n">
        <f aca="false">[59]output_table!g18/100</f>
        <v>-1.3663943771131</v>
      </c>
      <c r="J23" s="23" t="n">
        <f aca="false">[59]output_table!h18/100</f>
        <v>0.631393899024499</v>
      </c>
    </row>
    <row r="24" customFormat="false" ht="15.75" hidden="false" customHeight="true" outlineLevel="0" collapsed="false">
      <c r="A24" s="20" t="s">
        <v>108</v>
      </c>
      <c r="B24" s="21" t="n">
        <f aca="false">[57]output_table!f19/100</f>
        <v>-0.330584854903903</v>
      </c>
      <c r="C24" s="22" t="n">
        <f aca="false">[57]output_table!g19/100</f>
        <v>-0.894279096554937</v>
      </c>
      <c r="D24" s="23" t="n">
        <f aca="false">[57]output_table!h19/100</f>
        <v>0.563694241651034</v>
      </c>
      <c r="E24" s="21" t="n">
        <f aca="false">[58]output_table!f19/100</f>
        <v>-0.328156536666663</v>
      </c>
      <c r="F24" s="22" t="n">
        <f aca="false">[58]output_table!g19/100</f>
        <v>-0.893745717590195</v>
      </c>
      <c r="G24" s="23" t="n">
        <f aca="false">[58]output_table!h19/100</f>
        <v>0.565589180923532</v>
      </c>
      <c r="H24" s="21" t="n">
        <f aca="false">[59]output_table!f19/100</f>
        <v>-0.323932702011042</v>
      </c>
      <c r="I24" s="22" t="n">
        <f aca="false">[59]output_table!g19/100</f>
        <v>-0.893562041085986</v>
      </c>
      <c r="J24" s="23" t="n">
        <f aca="false">[59]output_table!h19/100</f>
        <v>0.569629339074944</v>
      </c>
    </row>
    <row r="25" customFormat="false" ht="15.75" hidden="false" customHeight="true" outlineLevel="0" collapsed="false">
      <c r="A25" s="20" t="s">
        <v>109</v>
      </c>
      <c r="B25" s="21" t="n">
        <f aca="false">[57]output_table!f20/100</f>
        <v>-0.0748367451764845</v>
      </c>
      <c r="C25" s="22" t="n">
        <f aca="false">[57]output_table!g20/100</f>
        <v>-0.591139309420336</v>
      </c>
      <c r="D25" s="23" t="n">
        <f aca="false">[57]output_table!h20/100</f>
        <v>0.516302564243851</v>
      </c>
      <c r="E25" s="21" t="n">
        <f aca="false">[58]output_table!f20/100</f>
        <v>-0.0849346386793083</v>
      </c>
      <c r="F25" s="22" t="n">
        <f aca="false">[58]output_table!g20/100</f>
        <v>-0.585021528896952</v>
      </c>
      <c r="G25" s="23" t="n">
        <f aca="false">[58]output_table!h20/100</f>
        <v>0.500086890217644</v>
      </c>
      <c r="H25" s="21" t="n">
        <f aca="false">[59]output_table!f20/100</f>
        <v>-0.0968447652383792</v>
      </c>
      <c r="I25" s="22" t="n">
        <f aca="false">[59]output_table!g20/100</f>
        <v>-0.57629064270503</v>
      </c>
      <c r="J25" s="23" t="n">
        <f aca="false">[59]output_table!h20/100</f>
        <v>0.479445877466651</v>
      </c>
    </row>
    <row r="26" customFormat="false" ht="15.75" hidden="false" customHeight="true" outlineLevel="0" collapsed="false">
      <c r="A26" s="20" t="s">
        <v>110</v>
      </c>
      <c r="B26" s="21" t="n">
        <f aca="false">[57]output_table!f21/100</f>
        <v>0.0104631235227064</v>
      </c>
      <c r="C26" s="22" t="n">
        <f aca="false">[57]output_table!g21/100</f>
        <v>-0.0154217790478277</v>
      </c>
      <c r="D26" s="23" t="n">
        <f aca="false">[57]output_table!h21/100</f>
        <v>0.0258849025705339</v>
      </c>
      <c r="E26" s="21" t="n">
        <f aca="false">[58]output_table!f21/100</f>
        <v>0.0105872205223172</v>
      </c>
      <c r="F26" s="22" t="n">
        <f aca="false">[58]output_table!g21/100</f>
        <v>-0.015583526201161</v>
      </c>
      <c r="G26" s="23" t="n">
        <f aca="false">[58]output_table!h21/100</f>
        <v>0.0261707467234782</v>
      </c>
      <c r="H26" s="21" t="n">
        <f aca="false">[59]output_table!f21/100</f>
        <v>0.0108166489614265</v>
      </c>
      <c r="I26" s="22" t="n">
        <f aca="false">[59]output_table!g21/100</f>
        <v>-0.015461464723548</v>
      </c>
      <c r="J26" s="23" t="n">
        <f aca="false">[59]output_table!h21/100</f>
        <v>0.0262781136849745</v>
      </c>
    </row>
    <row r="27" customFormat="false" ht="15.75" hidden="false" customHeight="true" outlineLevel="0" collapsed="false">
      <c r="A27" s="20" t="s">
        <v>111</v>
      </c>
      <c r="B27" s="21" t="n">
        <f aca="false">[57]output_table!f22/100</f>
        <v>-0.0121344081220983</v>
      </c>
      <c r="C27" s="22" t="n">
        <f aca="false">[57]output_table!g22/100</f>
        <v>-0.101015815948044</v>
      </c>
      <c r="D27" s="23" t="n">
        <f aca="false">[57]output_table!h22/100</f>
        <v>0.0888814078259458</v>
      </c>
      <c r="E27" s="21" t="n">
        <f aca="false">[58]output_table!f22/100</f>
        <v>-0.0131199274204832</v>
      </c>
      <c r="F27" s="22" t="n">
        <f aca="false">[58]output_table!g22/100</f>
        <v>-0.103782494102396</v>
      </c>
      <c r="G27" s="23" t="n">
        <f aca="false">[58]output_table!h22/100</f>
        <v>0.090662566681913</v>
      </c>
      <c r="H27" s="21" t="n">
        <f aca="false">[59]output_table!f22/100</f>
        <v>-0.0153832946187769</v>
      </c>
      <c r="I27" s="22" t="n">
        <f aca="false">[59]output_table!g22/100</f>
        <v>-0.108096533920477</v>
      </c>
      <c r="J27" s="23" t="n">
        <f aca="false">[59]output_table!h22/100</f>
        <v>0.0927132393017006</v>
      </c>
    </row>
    <row r="28" customFormat="false" ht="15.75" hidden="false" customHeight="true" outlineLevel="0" collapsed="false">
      <c r="A28" s="20" t="s">
        <v>112</v>
      </c>
      <c r="B28" s="21" t="n">
        <f aca="false">[57]output_table!f23/100</f>
        <v>-0.802690960492703</v>
      </c>
      <c r="C28" s="22" t="n">
        <f aca="false">[57]output_table!g23/100</f>
        <v>-0.443171196163706</v>
      </c>
      <c r="D28" s="23" t="n">
        <f aca="false">[57]output_table!h23/100</f>
        <v>-0.359519764328997</v>
      </c>
      <c r="E28" s="21" t="n">
        <f aca="false">[58]output_table!f23/100</f>
        <v>-0.802349416073599</v>
      </c>
      <c r="F28" s="22" t="n">
        <f aca="false">[58]output_table!g23/100</f>
        <v>-0.444392957738814</v>
      </c>
      <c r="G28" s="23" t="n">
        <f aca="false">[58]output_table!h23/100</f>
        <v>-0.357956458334785</v>
      </c>
      <c r="H28" s="21" t="n">
        <f aca="false">[59]output_table!f23/100</f>
        <v>-0.801868615933629</v>
      </c>
      <c r="I28" s="22" t="n">
        <f aca="false">[59]output_table!g23/100</f>
        <v>-0.444836305416359</v>
      </c>
      <c r="J28" s="23" t="n">
        <f aca="false">[59]output_table!h23/100</f>
        <v>-0.35703231051727</v>
      </c>
    </row>
    <row r="29" customFormat="false" ht="15.75" hidden="false" customHeight="true" outlineLevel="0" collapsed="false">
      <c r="A29" s="20" t="s">
        <v>113</v>
      </c>
      <c r="B29" s="21" t="n">
        <f aca="false">[57]output_table!f24/100</f>
        <v>-0.415947037866013</v>
      </c>
      <c r="C29" s="22" t="n">
        <f aca="false">[57]output_table!g24/100</f>
        <v>-0.276023537065248</v>
      </c>
      <c r="D29" s="23" t="n">
        <f aca="false">[57]output_table!h24/100</f>
        <v>-0.139923500800765</v>
      </c>
      <c r="E29" s="21" t="n">
        <f aca="false">[58]output_table!f24/100</f>
        <v>-0.418018057724757</v>
      </c>
      <c r="F29" s="22" t="n">
        <f aca="false">[58]output_table!g24/100</f>
        <v>-0.278349429505291</v>
      </c>
      <c r="G29" s="23" t="n">
        <f aca="false">[58]output_table!h24/100</f>
        <v>-0.139668628219466</v>
      </c>
      <c r="H29" s="21" t="n">
        <f aca="false">[59]output_table!f24/100</f>
        <v>-0.421750672485887</v>
      </c>
      <c r="I29" s="22" t="n">
        <f aca="false">[59]output_table!g24/100</f>
        <v>-0.283153005401949</v>
      </c>
      <c r="J29" s="23" t="n">
        <f aca="false">[59]output_table!h24/100</f>
        <v>-0.138597667083937</v>
      </c>
    </row>
    <row r="30" customFormat="false" ht="15.75" hidden="false" customHeight="true" outlineLevel="0" collapsed="false">
      <c r="A30" s="20" t="s">
        <v>114</v>
      </c>
      <c r="B30" s="21" t="n">
        <f aca="false">[57]output_table!f25/100</f>
        <v>-0.604609797549278</v>
      </c>
      <c r="C30" s="22" t="n">
        <f aca="false">[57]output_table!g25/100</f>
        <v>-0.297485245646888</v>
      </c>
      <c r="D30" s="23" t="n">
        <f aca="false">[57]output_table!h25/100</f>
        <v>-0.30712455190239</v>
      </c>
      <c r="E30" s="21" t="n">
        <f aca="false">[58]output_table!f25/100</f>
        <v>-0.60623952948597</v>
      </c>
      <c r="F30" s="22" t="n">
        <f aca="false">[58]output_table!g25/100</f>
        <v>-0.29600716188736</v>
      </c>
      <c r="G30" s="23" t="n">
        <f aca="false">[58]output_table!h25/100</f>
        <v>-0.310232367598609</v>
      </c>
      <c r="H30" s="21" t="n">
        <f aca="false">[59]output_table!f25/100</f>
        <v>-0.608560809304554</v>
      </c>
      <c r="I30" s="22" t="n">
        <f aca="false">[59]output_table!g25/100</f>
        <v>-0.293896204931641</v>
      </c>
      <c r="J30" s="23" t="n">
        <f aca="false">[59]output_table!h25/100</f>
        <v>-0.314664604372913</v>
      </c>
    </row>
    <row r="31" customFormat="false" ht="15.75" hidden="false" customHeight="true" outlineLevel="0" collapsed="false">
      <c r="A31" s="24" t="s">
        <v>115</v>
      </c>
      <c r="B31" s="25" t="n">
        <f aca="false">[57]output_table!f26/100</f>
        <v>-0.00946425218031866</v>
      </c>
      <c r="C31" s="26" t="n">
        <f aca="false">[57]output_table!g26/100</f>
        <v>0.0812454401088284</v>
      </c>
      <c r="D31" s="27" t="n">
        <f aca="false">[57]output_table!h26/100</f>
        <v>-0.090709692289147</v>
      </c>
      <c r="E31" s="25" t="n">
        <f aca="false">[58]output_table!f26/100</f>
        <v>-0.00944259896931242</v>
      </c>
      <c r="F31" s="26" t="n">
        <f aca="false">[58]output_table!g26/100</f>
        <v>0.0836646025799701</v>
      </c>
      <c r="G31" s="27" t="n">
        <f aca="false">[58]output_table!h26/100</f>
        <v>-0.0931072015492825</v>
      </c>
      <c r="H31" s="25" t="n">
        <f aca="false">[59]output_table!f26/100</f>
        <v>-0.00936970689934603</v>
      </c>
      <c r="I31" s="26" t="n">
        <f aca="false">[59]output_table!g26/100</f>
        <v>0.0878583211398073</v>
      </c>
      <c r="J31" s="27" t="n">
        <f aca="false">[59]output_table!h26/100</f>
        <v>-0.0972280280391534</v>
      </c>
    </row>
    <row r="32" customFormat="false" ht="12.8" hidden="false" customHeight="false" outlineLevel="0" collapsed="false">
      <c r="A32" s="10" t="s">
        <v>116</v>
      </c>
      <c r="B32" s="28" t="n">
        <f aca="false">AVERAGE(B7:B31)</f>
        <v>-0.359909332370654</v>
      </c>
      <c r="C32" s="28" t="n">
        <f aca="false">AVERAGE(C7:C31)</f>
        <v>-0.41474568721196</v>
      </c>
      <c r="D32" s="28" t="n">
        <f aca="false">AVERAGE(D7:D31)</f>
        <v>0.054836354841307</v>
      </c>
      <c r="E32" s="28" t="n">
        <f aca="false">AVERAGE(E7:E31)</f>
        <v>-0.360251934057851</v>
      </c>
      <c r="F32" s="28" t="n">
        <f aca="false">AVERAGE(F7:F31)</f>
        <v>-0.41428165771285</v>
      </c>
      <c r="G32" s="28" t="n">
        <f aca="false">AVERAGE(G7:G31)</f>
        <v>0.0540297236549989</v>
      </c>
      <c r="H32" s="28" t="n">
        <f aca="false">AVERAGE(H7:H31)</f>
        <v>-0.360836090598503</v>
      </c>
      <c r="I32" s="28" t="n">
        <f aca="false">AVERAGE(I7:I31)</f>
        <v>-0.414701326024894</v>
      </c>
      <c r="J32" s="28" t="n">
        <f aca="false">AVERAGE(J7:J31)</f>
        <v>0.0538652354263902</v>
      </c>
    </row>
    <row r="33" customFormat="false" ht="12.8" hidden="false" customHeight="false" outlineLevel="0" collapsed="false"/>
    <row r="34" customFormat="false" ht="15.75" hidden="false" customHeight="true" outlineLevel="0" collapsed="false">
      <c r="A34" s="10" t="s">
        <v>117</v>
      </c>
    </row>
  </sheetData>
  <mergeCells count="3">
    <mergeCell ref="B5:D5"/>
    <mergeCell ref="E5:G5"/>
    <mergeCell ref="H5:J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60</v>
      </c>
    </row>
    <row r="3" customFormat="false" ht="15.75" hidden="false" customHeight="true" outlineLevel="0" collapsed="false">
      <c r="A3" s="10" t="str">
        <f aca="false">CONCATENATE("Title: The role of China, changes in average volatility due to measured changes in trade barriers, baseline calibration (",_xlfn.UNICHAR(952), " = 4) with different trade cost scenarios for China")</f>
        <v>Title: The role of China, changes in average volatility due to measured changes in trade barriers, baseline calibration (θ = 4) with different trade cost scenarios for China</v>
      </c>
    </row>
    <row r="5" customFormat="false" ht="15.75" hidden="false" customHeight="true" outlineLevel="0" collapsed="false">
      <c r="B5" s="30" t="str">
        <f aca="false">CONCATENATE(_xlfn.UNICHAR(954), "_China,t"," = 0.0001", " for all t")</f>
        <v>κ_China,t = 0.0001 for all t</v>
      </c>
      <c r="C5" s="30"/>
      <c r="D5" s="30"/>
      <c r="E5" s="30" t="str">
        <f aca="false">CONCATENATE(_xlfn.UNICHAR(954), "_China,t"," = ", _xlfn.UNICHAR(954), "_China,1972 for t &gt; 1972")</f>
        <v>κ_China,t = κ_China,1972 for t &gt; 1972</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[60]output_table!f2/100</f>
        <v>-0.0216462979183204</v>
      </c>
      <c r="C7" s="18" t="n">
        <f aca="false">[60]output_table!g2/100</f>
        <v>-0.00730568835833007</v>
      </c>
      <c r="D7" s="19" t="n">
        <f aca="false">[60]output_table!h2/100</f>
        <v>-0.0143406095599903</v>
      </c>
      <c r="E7" s="17" t="n">
        <f aca="false">[61]output_table!f2/100</f>
        <v>-0.019487495353045</v>
      </c>
      <c r="F7" s="18" t="n">
        <f aca="false">[61]output_table!g2/100</f>
        <v>-0.00359579726253245</v>
      </c>
      <c r="G7" s="19" t="n">
        <f aca="false">[61]output_table!h2/100</f>
        <v>-0.0158916980905126</v>
      </c>
    </row>
    <row r="8" customFormat="false" ht="15.75" hidden="false" customHeight="true" outlineLevel="0" collapsed="false">
      <c r="A8" s="20" t="s">
        <v>92</v>
      </c>
      <c r="B8" s="21" t="n">
        <f aca="false">[60]output_table!f3/100</f>
        <v>-0.416432784928032</v>
      </c>
      <c r="C8" s="22" t="n">
        <f aca="false">[60]output_table!g3/100</f>
        <v>-1.15233304462373</v>
      </c>
      <c r="D8" s="23" t="n">
        <f aca="false">[60]output_table!h3/100</f>
        <v>0.735900259695695</v>
      </c>
      <c r="E8" s="21" t="n">
        <f aca="false">[61]output_table!f3/100</f>
        <v>-0.438737473629632</v>
      </c>
      <c r="F8" s="22" t="n">
        <f aca="false">[61]output_table!g3/100</f>
        <v>-1.12368225353914</v>
      </c>
      <c r="G8" s="23" t="n">
        <f aca="false">[61]output_table!h3/100</f>
        <v>0.684944779909509</v>
      </c>
    </row>
    <row r="9" customFormat="false" ht="15.75" hidden="false" customHeight="true" outlineLevel="0" collapsed="false">
      <c r="A9" s="20" t="s">
        <v>93</v>
      </c>
      <c r="B9" s="21" t="n">
        <f aca="false">[60]output_table!f4/100</f>
        <v>-0.654369619571696</v>
      </c>
      <c r="C9" s="22" t="n">
        <f aca="false">[60]output_table!g4/100</f>
        <v>-1.05299629816857</v>
      </c>
      <c r="D9" s="23" t="n">
        <f aca="false">[60]output_table!h4/100</f>
        <v>0.398626678596872</v>
      </c>
      <c r="E9" s="21" t="n">
        <f aca="false">[61]output_table!f4/100</f>
        <v>-0.65417795082929</v>
      </c>
      <c r="F9" s="22" t="n">
        <f aca="false">[61]output_table!g4/100</f>
        <v>-1.05855944430206</v>
      </c>
      <c r="G9" s="23" t="n">
        <f aca="false">[61]output_table!h4/100</f>
        <v>0.404381493472768</v>
      </c>
    </row>
    <row r="10" customFormat="false" ht="15.75" hidden="false" customHeight="true" outlineLevel="0" collapsed="false">
      <c r="A10" s="20" t="s">
        <v>94</v>
      </c>
      <c r="B10" s="21" t="n">
        <f aca="false">[60]output_table!f5/100</f>
        <v>-0.716030119317235</v>
      </c>
      <c r="C10" s="22" t="n">
        <f aca="false">[60]output_table!g5/100</f>
        <v>-0.980890961716671</v>
      </c>
      <c r="D10" s="23" t="n">
        <f aca="false">[60]output_table!h5/100</f>
        <v>0.264860842399436</v>
      </c>
      <c r="E10" s="21" t="n">
        <f aca="false">[61]output_table!f5/100</f>
        <v>-0.715589037807655</v>
      </c>
      <c r="F10" s="22" t="n">
        <f aca="false">[61]output_table!g5/100</f>
        <v>-0.981314816818074</v>
      </c>
      <c r="G10" s="23" t="n">
        <f aca="false">[61]output_table!h5/100</f>
        <v>0.265725779010419</v>
      </c>
    </row>
    <row r="11" customFormat="false" ht="15.75" hidden="false" customHeight="true" outlineLevel="0" collapsed="false">
      <c r="A11" s="20" t="s">
        <v>95</v>
      </c>
      <c r="B11" s="21" t="n">
        <f aca="false">[60]output_table!f6/100</f>
        <v>2.73063048366431E-005</v>
      </c>
      <c r="C11" s="22" t="n">
        <f aca="false">[60]output_table!g6/100</f>
        <v>4.79970195546571E-005</v>
      </c>
      <c r="D11" s="23" t="n">
        <f aca="false">[60]output_table!h6/100</f>
        <v>-2.0690714718014E-005</v>
      </c>
      <c r="E11" s="21" t="n">
        <f aca="false">[61]output_table!f6/100</f>
        <v>0.00255508770405171</v>
      </c>
      <c r="F11" s="22" t="n">
        <f aca="false">[61]output_table!g6/100</f>
        <v>-0.00377489598003948</v>
      </c>
      <c r="G11" s="23" t="n">
        <f aca="false">[61]output_table!h6/100</f>
        <v>0.00632998368409119</v>
      </c>
    </row>
    <row r="12" customFormat="false" ht="15.75" hidden="false" customHeight="true" outlineLevel="0" collapsed="false">
      <c r="A12" s="20" t="s">
        <v>96</v>
      </c>
      <c r="B12" s="21" t="n">
        <f aca="false">[60]output_table!f7/100</f>
        <v>-0.433100734517849</v>
      </c>
      <c r="C12" s="22" t="n">
        <f aca="false">[60]output_table!g7/100</f>
        <v>-0.634671975470489</v>
      </c>
      <c r="D12" s="23" t="n">
        <f aca="false">[60]output_table!h7/100</f>
        <v>0.20157124095264</v>
      </c>
      <c r="E12" s="21" t="n">
        <f aca="false">[61]output_table!f7/100</f>
        <v>-0.425508910046436</v>
      </c>
      <c r="F12" s="22" t="n">
        <f aca="false">[61]output_table!g7/100</f>
        <v>-0.635395050427986</v>
      </c>
      <c r="G12" s="23" t="n">
        <f aca="false">[61]output_table!h7/100</f>
        <v>0.209886140381551</v>
      </c>
    </row>
    <row r="13" customFormat="false" ht="15.75" hidden="false" customHeight="true" outlineLevel="0" collapsed="false">
      <c r="A13" s="20" t="s">
        <v>97</v>
      </c>
      <c r="B13" s="21" t="n">
        <f aca="false">[60]output_table!f8/100</f>
        <v>-0.771731324969192</v>
      </c>
      <c r="C13" s="22" t="n">
        <f aca="false">[60]output_table!g8/100</f>
        <v>-0.427163506913475</v>
      </c>
      <c r="D13" s="23" t="n">
        <f aca="false">[60]output_table!h8/100</f>
        <v>-0.344567818055717</v>
      </c>
      <c r="E13" s="21" t="n">
        <f aca="false">[61]output_table!f8/100</f>
        <v>-0.779296102085384</v>
      </c>
      <c r="F13" s="22" t="n">
        <f aca="false">[61]output_table!g8/100</f>
        <v>-0.416653755764344</v>
      </c>
      <c r="G13" s="23" t="n">
        <f aca="false">[61]output_table!h8/100</f>
        <v>-0.362642346321039</v>
      </c>
    </row>
    <row r="14" customFormat="false" ht="15.75" hidden="false" customHeight="true" outlineLevel="0" collapsed="false">
      <c r="A14" s="20" t="s">
        <v>98</v>
      </c>
      <c r="B14" s="21" t="n">
        <f aca="false">[60]output_table!f9/100</f>
        <v>-0.385873950410221</v>
      </c>
      <c r="C14" s="22" t="n">
        <f aca="false">[60]output_table!g9/100</f>
        <v>-0.659092990382779</v>
      </c>
      <c r="D14" s="23" t="n">
        <f aca="false">[60]output_table!h9/100</f>
        <v>0.273219039972558</v>
      </c>
      <c r="E14" s="21" t="n">
        <f aca="false">[61]output_table!f9/100</f>
        <v>-0.385127340572659</v>
      </c>
      <c r="F14" s="22" t="n">
        <f aca="false">[61]output_table!g9/100</f>
        <v>-0.658123513795964</v>
      </c>
      <c r="G14" s="23" t="n">
        <f aca="false">[61]output_table!h9/100</f>
        <v>0.272996173223305</v>
      </c>
    </row>
    <row r="15" customFormat="false" ht="15.75" hidden="false" customHeight="true" outlineLevel="0" collapsed="false">
      <c r="A15" s="20" t="s">
        <v>99</v>
      </c>
      <c r="B15" s="21" t="n">
        <f aca="false">[60]output_table!f10/100</f>
        <v>-0.245820271829083</v>
      </c>
      <c r="C15" s="22" t="n">
        <f aca="false">[60]output_table!g10/100</f>
        <v>0.243602903563213</v>
      </c>
      <c r="D15" s="23" t="n">
        <f aca="false">[60]output_table!h10/100</f>
        <v>-0.489423175392296</v>
      </c>
      <c r="E15" s="21" t="n">
        <f aca="false">[61]output_table!f10/100</f>
        <v>-0.245413841295487</v>
      </c>
      <c r="F15" s="22" t="n">
        <f aca="false">[61]output_table!g10/100</f>
        <v>0.234857322752109</v>
      </c>
      <c r="G15" s="23" t="n">
        <f aca="false">[61]output_table!h10/100</f>
        <v>-0.480271164047596</v>
      </c>
    </row>
    <row r="16" customFormat="false" ht="15.75" hidden="false" customHeight="true" outlineLevel="0" collapsed="false">
      <c r="A16" s="20" t="s">
        <v>100</v>
      </c>
      <c r="B16" s="21" t="n">
        <f aca="false">[60]output_table!f11/100</f>
        <v>-0.519788087782618</v>
      </c>
      <c r="C16" s="22" t="n">
        <f aca="false">[60]output_table!g11/100</f>
        <v>-0.488383794634856</v>
      </c>
      <c r="D16" s="23" t="n">
        <f aca="false">[60]output_table!h11/100</f>
        <v>-0.0314042931477619</v>
      </c>
      <c r="E16" s="21" t="n">
        <f aca="false">[61]output_table!f11/100</f>
        <v>-0.519111552294809</v>
      </c>
      <c r="F16" s="22" t="n">
        <f aca="false">[61]output_table!g11/100</f>
        <v>-0.495025197846148</v>
      </c>
      <c r="G16" s="23" t="n">
        <f aca="false">[61]output_table!h11/100</f>
        <v>-0.0240863544486614</v>
      </c>
    </row>
    <row r="17" customFormat="false" ht="15.75" hidden="false" customHeight="true" outlineLevel="0" collapsed="false">
      <c r="A17" s="20" t="s">
        <v>101</v>
      </c>
      <c r="B17" s="21" t="n">
        <f aca="false">[60]output_table!f12/100</f>
        <v>-0.223443517875965</v>
      </c>
      <c r="C17" s="22" t="n">
        <f aca="false">[60]output_table!g12/100</f>
        <v>0.0879521237228266</v>
      </c>
      <c r="D17" s="23" t="n">
        <f aca="false">[60]output_table!h12/100</f>
        <v>-0.311395641598791</v>
      </c>
      <c r="E17" s="21" t="n">
        <f aca="false">[61]output_table!f12/100</f>
        <v>-0.20789192917663</v>
      </c>
      <c r="F17" s="22" t="n">
        <f aca="false">[61]output_table!g12/100</f>
        <v>0.0958390193067775</v>
      </c>
      <c r="G17" s="23" t="n">
        <f aca="false">[61]output_table!h12/100</f>
        <v>-0.303730948483407</v>
      </c>
    </row>
    <row r="18" customFormat="false" ht="15.75" hidden="false" customHeight="true" outlineLevel="0" collapsed="false">
      <c r="A18" s="20" t="s">
        <v>102</v>
      </c>
      <c r="B18" s="21" t="n">
        <f aca="false">[60]output_table!f13/100</f>
        <v>-0.160404468379164</v>
      </c>
      <c r="C18" s="22" t="n">
        <f aca="false">[60]output_table!g13/100</f>
        <v>-0.0660244643660178</v>
      </c>
      <c r="D18" s="23" t="n">
        <f aca="false">[60]output_table!h13/100</f>
        <v>-0.0943800040131464</v>
      </c>
      <c r="E18" s="21" t="n">
        <f aca="false">[61]output_table!f13/100</f>
        <v>-0.161193951053341</v>
      </c>
      <c r="F18" s="22" t="n">
        <f aca="false">[61]output_table!g13/100</f>
        <v>-0.0601285417127902</v>
      </c>
      <c r="G18" s="23" t="n">
        <f aca="false">[61]output_table!h13/100</f>
        <v>-0.101065409340551</v>
      </c>
    </row>
    <row r="19" customFormat="false" ht="15.75" hidden="false" customHeight="true" outlineLevel="0" collapsed="false">
      <c r="A19" s="20" t="s">
        <v>103</v>
      </c>
      <c r="B19" s="21" t="n">
        <f aca="false">[60]output_table!f14/100</f>
        <v>-0.5726250324717</v>
      </c>
      <c r="C19" s="22" t="n">
        <f aca="false">[60]output_table!g14/100</f>
        <v>-0.717199938213725</v>
      </c>
      <c r="D19" s="23" t="n">
        <f aca="false">[60]output_table!h14/100</f>
        <v>0.144574905742025</v>
      </c>
      <c r="E19" s="21" t="n">
        <f aca="false">[61]output_table!f14/100</f>
        <v>-0.607120833528711</v>
      </c>
      <c r="F19" s="22" t="n">
        <f aca="false">[61]output_table!g14/100</f>
        <v>-0.643294715898929</v>
      </c>
      <c r="G19" s="23" t="n">
        <f aca="false">[61]output_table!h14/100</f>
        <v>0.0361738823702175</v>
      </c>
    </row>
    <row r="20" customFormat="false" ht="15.75" hidden="false" customHeight="true" outlineLevel="0" collapsed="false">
      <c r="A20" s="20" t="s">
        <v>104</v>
      </c>
      <c r="B20" s="21" t="n">
        <f aca="false">[60]output_table!f15/100</f>
        <v>-0.272590767176212</v>
      </c>
      <c r="C20" s="22" t="n">
        <f aca="false">[60]output_table!g15/100</f>
        <v>0.211571191454877</v>
      </c>
      <c r="D20" s="23" t="n">
        <f aca="false">[60]output_table!h15/100</f>
        <v>-0.484161958631089</v>
      </c>
      <c r="E20" s="21" t="n">
        <f aca="false">[61]output_table!f15/100</f>
        <v>-0.27080574178765</v>
      </c>
      <c r="F20" s="22" t="n">
        <f aca="false">[61]output_table!g15/100</f>
        <v>0.208203439040167</v>
      </c>
      <c r="G20" s="23" t="n">
        <f aca="false">[61]output_table!h15/100</f>
        <v>-0.479009180827817</v>
      </c>
    </row>
    <row r="21" customFormat="false" ht="15.75" hidden="false" customHeight="true" outlineLevel="0" collapsed="false">
      <c r="A21" s="20" t="s">
        <v>105</v>
      </c>
      <c r="B21" s="21" t="n">
        <f aca="false">[60]output_table!f16/100</f>
        <v>-0.0184093484682575</v>
      </c>
      <c r="C21" s="22" t="n">
        <f aca="false">[60]output_table!g16/100</f>
        <v>0.0781062927747571</v>
      </c>
      <c r="D21" s="23" t="n">
        <f aca="false">[60]output_table!h16/100</f>
        <v>-0.0965156412430146</v>
      </c>
      <c r="E21" s="21" t="n">
        <f aca="false">[61]output_table!f16/100</f>
        <v>-0.0252203809491364</v>
      </c>
      <c r="F21" s="22" t="n">
        <f aca="false">[61]output_table!g16/100</f>
        <v>0.0792364400202908</v>
      </c>
      <c r="G21" s="23" t="n">
        <f aca="false">[61]output_table!h16/100</f>
        <v>-0.104456820969427</v>
      </c>
    </row>
    <row r="22" customFormat="false" ht="15.75" hidden="false" customHeight="true" outlineLevel="0" collapsed="false">
      <c r="A22" s="20" t="s">
        <v>106</v>
      </c>
      <c r="B22" s="21" t="n">
        <f aca="false">[60]output_table!f17/100</f>
        <v>-0.561200756165894</v>
      </c>
      <c r="C22" s="22" t="n">
        <f aca="false">[60]output_table!g17/100</f>
        <v>-0.926667572374652</v>
      </c>
      <c r="D22" s="23" t="n">
        <f aca="false">[60]output_table!h17/100</f>
        <v>0.365466816208758</v>
      </c>
      <c r="E22" s="21" t="n">
        <f aca="false">[61]output_table!f17/100</f>
        <v>-0.557974046684682</v>
      </c>
      <c r="F22" s="22" t="n">
        <f aca="false">[61]output_table!g17/100</f>
        <v>-0.931882836343431</v>
      </c>
      <c r="G22" s="23" t="n">
        <f aca="false">[61]output_table!h17/100</f>
        <v>0.37390878965875</v>
      </c>
    </row>
    <row r="23" customFormat="false" ht="15.75" hidden="false" customHeight="true" outlineLevel="0" collapsed="false">
      <c r="A23" s="20" t="s">
        <v>107</v>
      </c>
      <c r="B23" s="21" t="n">
        <f aca="false">[60]output_table!f18/100</f>
        <v>-0.716498970068515</v>
      </c>
      <c r="C23" s="22" t="n">
        <f aca="false">[60]output_table!g18/100</f>
        <v>-1.31089955444188</v>
      </c>
      <c r="D23" s="23" t="n">
        <f aca="false">[60]output_table!h18/100</f>
        <v>0.594400584373364</v>
      </c>
      <c r="E23" s="21" t="n">
        <f aca="false">[61]output_table!f18/100</f>
        <v>-0.716033181833539</v>
      </c>
      <c r="F23" s="22" t="n">
        <f aca="false">[61]output_table!g18/100</f>
        <v>-1.3089321352533</v>
      </c>
      <c r="G23" s="23" t="n">
        <f aca="false">[61]output_table!h18/100</f>
        <v>0.592898953419765</v>
      </c>
    </row>
    <row r="24" customFormat="false" ht="15.75" hidden="false" customHeight="true" outlineLevel="0" collapsed="false">
      <c r="A24" s="20" t="s">
        <v>108</v>
      </c>
      <c r="B24" s="21" t="n">
        <f aca="false">[60]output_table!f19/100</f>
        <v>-0.344666914916347</v>
      </c>
      <c r="C24" s="22" t="n">
        <f aca="false">[60]output_table!g19/100</f>
        <v>-0.856589393355806</v>
      </c>
      <c r="D24" s="23" t="n">
        <f aca="false">[60]output_table!h19/100</f>
        <v>0.511922478439459</v>
      </c>
      <c r="E24" s="21" t="n">
        <f aca="false">[61]output_table!f19/100</f>
        <v>-0.34742277174815</v>
      </c>
      <c r="F24" s="22" t="n">
        <f aca="false">[61]output_table!g19/100</f>
        <v>-0.860494352814888</v>
      </c>
      <c r="G24" s="23" t="n">
        <f aca="false">[61]output_table!h19/100</f>
        <v>0.513071581066738</v>
      </c>
    </row>
    <row r="25" customFormat="false" ht="15.75" hidden="false" customHeight="true" outlineLevel="0" collapsed="false">
      <c r="A25" s="20" t="s">
        <v>109</v>
      </c>
      <c r="B25" s="21" t="n">
        <f aca="false">[60]output_table!f20/100</f>
        <v>-0.0814022054510633</v>
      </c>
      <c r="C25" s="22" t="n">
        <f aca="false">[60]output_table!g20/100</f>
        <v>-0.57693971645835</v>
      </c>
      <c r="D25" s="23" t="n">
        <f aca="false">[60]output_table!h20/100</f>
        <v>0.495537511007286</v>
      </c>
      <c r="E25" s="21" t="n">
        <f aca="false">[61]output_table!f20/100</f>
        <v>-0.107483477327804</v>
      </c>
      <c r="F25" s="22" t="n">
        <f aca="false">[61]output_table!g20/100</f>
        <v>-0.557357720573648</v>
      </c>
      <c r="G25" s="23" t="n">
        <f aca="false">[61]output_table!h20/100</f>
        <v>0.449874243245845</v>
      </c>
    </row>
    <row r="26" customFormat="false" ht="15.75" hidden="false" customHeight="true" outlineLevel="0" collapsed="false">
      <c r="A26" s="20" t="s">
        <v>110</v>
      </c>
      <c r="B26" s="21" t="n">
        <f aca="false">[60]output_table!f21/100</f>
        <v>0.00817878315020299</v>
      </c>
      <c r="C26" s="22" t="n">
        <f aca="false">[60]output_table!g21/100</f>
        <v>-0.0152996208833592</v>
      </c>
      <c r="D26" s="23" t="n">
        <f aca="false">[60]output_table!h21/100</f>
        <v>0.0234784040335623</v>
      </c>
      <c r="E26" s="21" t="n">
        <f aca="false">[61]output_table!f21/100</f>
        <v>0.0118351892475977</v>
      </c>
      <c r="F26" s="22" t="n">
        <f aca="false">[61]output_table!g21/100</f>
        <v>-0.0133687464886814</v>
      </c>
      <c r="G26" s="23" t="n">
        <f aca="false">[61]output_table!h21/100</f>
        <v>0.0252039357362789</v>
      </c>
    </row>
    <row r="27" customFormat="false" ht="15.75" hidden="false" customHeight="true" outlineLevel="0" collapsed="false">
      <c r="A27" s="20" t="s">
        <v>111</v>
      </c>
      <c r="B27" s="21" t="n">
        <f aca="false">[60]output_table!f22/100</f>
        <v>-0.0131041768563223</v>
      </c>
      <c r="C27" s="22" t="n">
        <f aca="false">[60]output_table!g22/100</f>
        <v>-0.0876416025930815</v>
      </c>
      <c r="D27" s="23" t="n">
        <f aca="false">[60]output_table!h22/100</f>
        <v>0.0745374257367591</v>
      </c>
      <c r="E27" s="21" t="n">
        <f aca="false">[61]output_table!f22/100</f>
        <v>-0.0147488043987843</v>
      </c>
      <c r="F27" s="22" t="n">
        <f aca="false">[61]output_table!g22/100</f>
        <v>-0.0757091741201434</v>
      </c>
      <c r="G27" s="23" t="n">
        <f aca="false">[61]output_table!h22/100</f>
        <v>0.0609603697213591</v>
      </c>
    </row>
    <row r="28" customFormat="false" ht="15.75" hidden="false" customHeight="true" outlineLevel="0" collapsed="false">
      <c r="A28" s="20" t="s">
        <v>112</v>
      </c>
      <c r="B28" s="21" t="n">
        <f aca="false">[60]output_table!f23/100</f>
        <v>-0.793912040549661</v>
      </c>
      <c r="C28" s="22" t="n">
        <f aca="false">[60]output_table!g23/100</f>
        <v>-0.436580214316245</v>
      </c>
      <c r="D28" s="23" t="n">
        <f aca="false">[60]output_table!h23/100</f>
        <v>-0.357331826233415</v>
      </c>
      <c r="E28" s="21" t="n">
        <f aca="false">[61]output_table!f23/100</f>
        <v>-0.793246334914702</v>
      </c>
      <c r="F28" s="22" t="n">
        <f aca="false">[61]output_table!g23/100</f>
        <v>-0.43580688194134</v>
      </c>
      <c r="G28" s="23" t="n">
        <f aca="false">[61]output_table!h23/100</f>
        <v>-0.357439452973362</v>
      </c>
    </row>
    <row r="29" customFormat="false" ht="15.75" hidden="false" customHeight="true" outlineLevel="0" collapsed="false">
      <c r="A29" s="20" t="s">
        <v>113</v>
      </c>
      <c r="B29" s="21" t="n">
        <f aca="false">[60]output_table!f24/100</f>
        <v>-0.391836056593749</v>
      </c>
      <c r="C29" s="22" t="n">
        <f aca="false">[60]output_table!g24/100</f>
        <v>-0.251445037044437</v>
      </c>
      <c r="D29" s="23" t="n">
        <f aca="false">[60]output_table!h24/100</f>
        <v>-0.140391019549312</v>
      </c>
      <c r="E29" s="21" t="n">
        <f aca="false">[61]output_table!f24/100</f>
        <v>-0.402127163504486</v>
      </c>
      <c r="F29" s="22" t="n">
        <f aca="false">[61]output_table!g24/100</f>
        <v>-0.259154586975651</v>
      </c>
      <c r="G29" s="23" t="n">
        <f aca="false">[61]output_table!h24/100</f>
        <v>-0.142972576528835</v>
      </c>
    </row>
    <row r="30" customFormat="false" ht="15.75" hidden="false" customHeight="true" outlineLevel="0" collapsed="false">
      <c r="A30" s="20" t="s">
        <v>114</v>
      </c>
      <c r="B30" s="21" t="n">
        <f aca="false">[60]output_table!f25/100</f>
        <v>-0.58249089911704</v>
      </c>
      <c r="C30" s="22" t="n">
        <f aca="false">[60]output_table!g25/100</f>
        <v>-0.298848568326819</v>
      </c>
      <c r="D30" s="23" t="n">
        <f aca="false">[60]output_table!h25/100</f>
        <v>-0.283642330790221</v>
      </c>
      <c r="E30" s="21" t="n">
        <f aca="false">[61]output_table!f25/100</f>
        <v>-0.582719409585421</v>
      </c>
      <c r="F30" s="22" t="n">
        <f aca="false">[61]output_table!g25/100</f>
        <v>-0.299635787487777</v>
      </c>
      <c r="G30" s="23" t="n">
        <f aca="false">[61]output_table!h25/100</f>
        <v>-0.283083622097645</v>
      </c>
    </row>
    <row r="31" customFormat="false" ht="15.75" hidden="false" customHeight="true" outlineLevel="0" collapsed="false">
      <c r="A31" s="24" t="s">
        <v>115</v>
      </c>
      <c r="B31" s="25" t="n">
        <f aca="false">[60]output_table!f26/100</f>
        <v>-0.0131555247829673</v>
      </c>
      <c r="C31" s="26" t="n">
        <f aca="false">[60]output_table!g26/100</f>
        <v>0.0714987036344115</v>
      </c>
      <c r="D31" s="27" t="n">
        <f aca="false">[60]output_table!h26/100</f>
        <v>-0.0846542284173788</v>
      </c>
      <c r="E31" s="25" t="n">
        <f aca="false">[61]output_table!f26/100</f>
        <v>-0.0199376084328604</v>
      </c>
      <c r="F31" s="26" t="n">
        <f aca="false">[61]output_table!g26/100</f>
        <v>0.0591943697617517</v>
      </c>
      <c r="G31" s="27" t="n">
        <f aca="false">[61]output_table!h26/100</f>
        <v>-0.0791319781946122</v>
      </c>
    </row>
    <row r="32" customFormat="false" ht="12.8" hidden="false" customHeight="false" outlineLevel="0" collapsed="false">
      <c r="A32" s="10" t="s">
        <v>118</v>
      </c>
      <c r="B32" s="28" t="n">
        <f aca="false">AVERAGE(B12:B31,B7:B10)</f>
        <v>-0.370931461956954</v>
      </c>
      <c r="C32" s="28" t="n">
        <f aca="false">AVERAGE(C12:C31,C7:C10)</f>
        <v>-0.427260113645549</v>
      </c>
      <c r="D32" s="28" t="n">
        <f aca="false">AVERAGE(D12:D31,D7:D10)</f>
        <v>0.056328651688595</v>
      </c>
      <c r="E32" s="28" t="n">
        <f aca="false">AVERAGE(E12:E31,E7:E10)</f>
        <v>-0.374355839566362</v>
      </c>
      <c r="F32" s="28" t="n">
        <f aca="false">AVERAGE(F12:F31,F7:F10)</f>
        <v>-0.422532696603572</v>
      </c>
      <c r="G32" s="28" t="n">
        <f aca="false">AVERAGE(G12:G31,G7:G10)</f>
        <v>0.04817685703721</v>
      </c>
    </row>
    <row r="33" customFormat="false" ht="12.8" hidden="false" customHeight="false" outlineLevel="0" collapsed="false"/>
    <row r="34" customFormat="false" ht="15.75" hidden="false" customHeight="true" outlineLevel="0" collapsed="false">
      <c r="A34" s="10" t="s">
        <v>117</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D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41"/>
    <col collapsed="false" customWidth="true" hidden="false" outlineLevel="0" max="1025" min="5" style="10" width="14.43"/>
  </cols>
  <sheetData>
    <row r="1" customFormat="false" ht="15.75" hidden="false" customHeight="true" outlineLevel="0" collapsed="false">
      <c r="A1" s="10" t="s">
        <v>69</v>
      </c>
    </row>
    <row r="3" customFormat="false" ht="15.75" hidden="false" customHeight="true" outlineLevel="0" collapsed="false">
      <c r="A3" s="10" t="str">
        <f aca="false">CONCATENATE("Title: Changes in average volatility due to measured changes in trade barriers over decades, baseline calibration (",_xlfn.UNICHAR(952), " = 4)")</f>
        <v>Title: Changes in average volatility due to measured changes in trade barriers over decades, baseline calibration (θ = 4)</v>
      </c>
    </row>
    <row r="5" customFormat="false" ht="41.25" hidden="false" customHeight="true" outlineLevel="0" collapsed="false">
      <c r="A5" s="11"/>
      <c r="B5" s="13" t="s">
        <v>88</v>
      </c>
      <c r="C5" s="14" t="s">
        <v>89</v>
      </c>
      <c r="D5" s="15" t="s">
        <v>90</v>
      </c>
    </row>
    <row r="6" customFormat="false" ht="15.75" hidden="false" customHeight="true" outlineLevel="0" collapsed="false">
      <c r="A6" s="31" t="s">
        <v>119</v>
      </c>
      <c r="B6" s="17" t="n">
        <f aca="false">[62]volatility_by_decade!b2/100</f>
        <v>-0.0346318979006214</v>
      </c>
      <c r="C6" s="18" t="n">
        <f aca="false">[62]volatility_by_decade!c2/100</f>
        <v>-0.157427284615131</v>
      </c>
      <c r="D6" s="19" t="n">
        <f aca="false">[62]volatility_by_decade!d2/100</f>
        <v>0.12279538671451</v>
      </c>
    </row>
    <row r="7" customFormat="false" ht="15.75" hidden="false" customHeight="true" outlineLevel="0" collapsed="false">
      <c r="A7" s="32" t="s">
        <v>120</v>
      </c>
      <c r="B7" s="21" t="n">
        <f aca="false">[62]volatility_by_decade!b3/100</f>
        <v>-0.122884893934008</v>
      </c>
      <c r="C7" s="22" t="n">
        <f aca="false">[62]volatility_by_decade!c3/100</f>
        <v>-0.359600542589178</v>
      </c>
      <c r="D7" s="23" t="n">
        <f aca="false">[62]volatility_by_decade!d3/100</f>
        <v>0.23671564865517</v>
      </c>
    </row>
    <row r="8" customFormat="false" ht="15.75" hidden="false" customHeight="true" outlineLevel="0" collapsed="false">
      <c r="A8" s="32" t="s">
        <v>121</v>
      </c>
      <c r="B8" s="21" t="n">
        <f aca="false">[62]volatility_by_decade!b4/100</f>
        <v>-0.34026437043474</v>
      </c>
      <c r="C8" s="22" t="n">
        <f aca="false">[62]volatility_by_decade!c4/100</f>
        <v>-0.661273971941935</v>
      </c>
      <c r="D8" s="23" t="n">
        <f aca="false">[62]volatility_by_decade!d4/100</f>
        <v>0.321009601507195</v>
      </c>
    </row>
    <row r="9" customFormat="false" ht="15.75" hidden="false" customHeight="true" outlineLevel="0" collapsed="false">
      <c r="A9" s="33" t="s">
        <v>122</v>
      </c>
      <c r="B9" s="25" t="n">
        <f aca="false">[62]volatility_by_decade!b5/100</f>
        <v>-0.668434581128015</v>
      </c>
      <c r="C9" s="26" t="n">
        <f aca="false">[62]volatility_by_decade!c5/100</f>
        <v>-0.650011112564255</v>
      </c>
      <c r="D9" s="27" t="n">
        <f aca="false">[62]volatility_by_decade!d5/100</f>
        <v>-0.0184234685637596</v>
      </c>
    </row>
    <row r="10" customFormat="false" ht="15.75" hidden="false" customHeight="true" outlineLevel="0" collapsed="false">
      <c r="B10" s="34"/>
      <c r="C10" s="34"/>
      <c r="D10" s="34"/>
    </row>
    <row r="11" customFormat="false" ht="36.8" hidden="false" customHeight="true" outlineLevel="0" collapsed="false">
      <c r="A11" s="35" t="s">
        <v>117</v>
      </c>
      <c r="B11" s="35"/>
      <c r="C11" s="35"/>
      <c r="D11" s="35"/>
    </row>
    <row r="12" customFormat="false" ht="15.75" hidden="false" customHeight="true" outlineLevel="0" collapsed="false">
      <c r="B12" s="34"/>
      <c r="C12" s="34"/>
      <c r="D12" s="34"/>
    </row>
    <row r="13" customFormat="false" ht="15.75" hidden="false" customHeight="true" outlineLevel="0" collapsed="false">
      <c r="B13" s="34"/>
      <c r="C13" s="34"/>
      <c r="D13" s="34"/>
    </row>
    <row r="14" customFormat="false" ht="15.75" hidden="false" customHeight="true" outlineLevel="0" collapsed="false">
      <c r="B14" s="34"/>
      <c r="C14" s="34"/>
      <c r="D14" s="34"/>
    </row>
    <row r="15" customFormat="false" ht="15.75" hidden="false" customHeight="true" outlineLevel="0" collapsed="false">
      <c r="B15" s="34"/>
      <c r="C15" s="34"/>
      <c r="D15" s="34"/>
    </row>
    <row r="16" customFormat="false" ht="15.75" hidden="false" customHeight="true" outlineLevel="0" collapsed="false">
      <c r="B16" s="34"/>
      <c r="C16" s="34"/>
      <c r="D16" s="34"/>
    </row>
    <row r="17" customFormat="false" ht="15.75" hidden="false" customHeight="true" outlineLevel="0" collapsed="false">
      <c r="B17" s="34"/>
      <c r="C17" s="34"/>
      <c r="D17" s="34"/>
    </row>
    <row r="18" customFormat="false" ht="15.75" hidden="false" customHeight="true" outlineLevel="0" collapsed="false">
      <c r="B18" s="34"/>
      <c r="C18" s="34"/>
      <c r="D18" s="34"/>
    </row>
    <row r="19" customFormat="false" ht="15.75" hidden="false" customHeight="true" outlineLevel="0" collapsed="false">
      <c r="B19" s="34"/>
      <c r="C19" s="34"/>
      <c r="D19" s="34"/>
    </row>
    <row r="20" customFormat="false" ht="15.75" hidden="false" customHeight="true" outlineLevel="0" collapsed="false">
      <c r="B20" s="34"/>
      <c r="C20" s="34"/>
      <c r="D20" s="34"/>
    </row>
    <row r="21" customFormat="false" ht="15.75" hidden="false" customHeight="true" outlineLevel="0" collapsed="false">
      <c r="B21" s="34"/>
      <c r="C21" s="34"/>
      <c r="D21" s="34"/>
    </row>
    <row r="22" customFormat="false" ht="15.75" hidden="false" customHeight="true" outlineLevel="0" collapsed="false">
      <c r="B22" s="34"/>
      <c r="C22" s="34"/>
      <c r="D22" s="34"/>
    </row>
    <row r="23" customFormat="false" ht="15.75" hidden="false" customHeight="true" outlineLevel="0" collapsed="false">
      <c r="B23" s="34"/>
      <c r="C23" s="34"/>
      <c r="D23" s="34"/>
    </row>
    <row r="24" customFormat="false" ht="15.75" hidden="false" customHeight="true" outlineLevel="0" collapsed="false">
      <c r="B24" s="34"/>
      <c r="C24" s="34"/>
      <c r="D24" s="34"/>
    </row>
    <row r="25" customFormat="false" ht="15.75" hidden="false" customHeight="true" outlineLevel="0" collapsed="false">
      <c r="B25" s="34"/>
      <c r="C25" s="34"/>
      <c r="D25" s="34"/>
    </row>
    <row r="26" customFormat="false" ht="15.75" hidden="false" customHeight="true" outlineLevel="0" collapsed="false">
      <c r="B26" s="34"/>
      <c r="C26" s="34"/>
      <c r="D26" s="34"/>
    </row>
    <row r="27" customFormat="false" ht="15.75" hidden="false" customHeight="true" outlineLevel="0" collapsed="false">
      <c r="B27" s="34"/>
      <c r="C27" s="34"/>
      <c r="D27" s="34"/>
    </row>
    <row r="28" customFormat="false" ht="15.75" hidden="false" customHeight="true" outlineLevel="0" collapsed="false">
      <c r="B28" s="34"/>
      <c r="C28" s="34"/>
      <c r="D28" s="34"/>
    </row>
    <row r="29" customFormat="false" ht="15.75" hidden="false" customHeight="true" outlineLevel="0" collapsed="false">
      <c r="B29" s="34"/>
      <c r="C29" s="34"/>
      <c r="D29" s="34"/>
    </row>
    <row r="30" customFormat="false" ht="15.75" hidden="false" customHeight="true" outlineLevel="0" collapsed="false">
      <c r="B30" s="34"/>
      <c r="C30" s="34"/>
      <c r="D30" s="34"/>
    </row>
  </sheetData>
  <mergeCells count="1">
    <mergeCell ref="A11:D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TotalTime>
  <Application>LibreOffice/6.1.2.1$MacOSX_X86_64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2019-01-16T13:31:23Z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