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2" windowWidth="24240" windowHeight="11820"/>
  </bookViews>
  <sheets>
    <sheet name="StartHere" sheetId="8" r:id="rId1"/>
    <sheet name="Inputs" sheetId="3" r:id="rId2"/>
    <sheet name="Chart" sheetId="5" r:id="rId3"/>
    <sheet name="Tables" sheetId="6" r:id="rId4"/>
    <sheet name="Reference" sheetId="4" r:id="rId5"/>
    <sheet name="Admin" sheetId="2" state="hidden" r:id="rId6"/>
    <sheet name="ChartData" sheetId="9" state="hidden" r:id="rId7"/>
    <sheet name="ChangeLog" sheetId="7" state="hidden" r:id="rId8"/>
  </sheets>
  <definedNames>
    <definedName name="cht_cryo_pct">ChartData!$B$11</definedName>
    <definedName name="cht_payback">ChartData!$B$20</definedName>
    <definedName name="cht_pct">ChartData!$H$40</definedName>
    <definedName name="cht_svg">ChartData!$B$9</definedName>
    <definedName name="cht_svg_pct">ChartData!$H$41</definedName>
    <definedName name="cht_svg_pct_box">ChartData!$B$10</definedName>
    <definedName name="co_name">Admin!$C$9</definedName>
    <definedName name="cryo_option">Inputs!$F$30</definedName>
    <definedName name="days_per_yr">Admin!$C$12</definedName>
    <definedName name="dd_cryo_options">tbl_cryo_options[UI]</definedName>
    <definedName name="dd_donor">tbl_donor[Oocyte Donor]</definedName>
    <definedName name="dd_gt_who">tbl_gt_who[Options]</definedName>
    <definedName name="dd_l_rate">tbl_l_rate[Rate]</definedName>
    <definedName name="dd_num_breeders">tbl_num_breeders[Number]</definedName>
    <definedName name="dd_yn">tbl_yn[Answer]</definedName>
    <definedName name="donor">Inputs!$F$31</definedName>
    <definedName name="donor_tbl">tbl_donor[]</definedName>
    <definedName name="help_1">Reference!$B$7</definedName>
    <definedName name="help_10">Reference!$B$43</definedName>
    <definedName name="help_11">Reference!$B$47</definedName>
    <definedName name="help_12">Reference!$B$51</definedName>
    <definedName name="help_13">Reference!$B$55</definedName>
    <definedName name="help_14">Reference!$B$59</definedName>
    <definedName name="help_15">Reference!$B$63</definedName>
    <definedName name="help_16">Reference!$B$67</definedName>
    <definedName name="help_17">Reference!$B$71</definedName>
    <definedName name="help_18">Reference!$B$75</definedName>
    <definedName name="help_19">Reference!$B$79</definedName>
    <definedName name="help_2">Reference!$B$11</definedName>
    <definedName name="help_20">Reference!$B$83</definedName>
    <definedName name="help_21">Reference!$B$87</definedName>
    <definedName name="help_3">Reference!$B$15</definedName>
    <definedName name="help_4">Reference!$B$19</definedName>
    <definedName name="help_5">Reference!$B$23</definedName>
    <definedName name="help_6">Reference!$B$27</definedName>
    <definedName name="help_7">Reference!$B$31</definedName>
    <definedName name="help_8">Reference!$B$35</definedName>
    <definedName name="help_9">Reference!$B$39</definedName>
    <definedName name="hrs_per_yr">Admin!$C$11</definedName>
    <definedName name="litters_per_yr">Admin!$C$14</definedName>
    <definedName name="months_per_yr">Admin!$C$13</definedName>
    <definedName name="simple_payback">ChartData!$E$31</definedName>
    <definedName name="storage_cost">Admin!$C$17</definedName>
    <definedName name="tot_svg">Tables!$I$10</definedName>
    <definedName name="wks_per_yr">Admin!$C$10</definedName>
  </definedNames>
  <calcPr calcId="145621"/>
</workbook>
</file>

<file path=xl/calcChain.xml><?xml version="1.0" encoding="utf-8"?>
<calcChain xmlns="http://schemas.openxmlformats.org/spreadsheetml/2006/main">
  <c r="C87" i="4" l="1"/>
  <c r="L2" i="5" l="1"/>
  <c r="D16" i="3"/>
  <c r="F16" i="3" s="1"/>
  <c r="D11" i="3"/>
  <c r="D14" i="3"/>
  <c r="A2" i="9" l="1"/>
  <c r="C30" i="3" l="1"/>
  <c r="F30" i="3" l="1"/>
  <c r="E39" i="3" s="1"/>
  <c r="F116" i="2"/>
  <c r="F117" i="2"/>
  <c r="F118" i="2"/>
  <c r="D30" i="3"/>
  <c r="C83" i="4"/>
  <c r="C79" i="4"/>
  <c r="C75" i="4"/>
  <c r="D40" i="3"/>
  <c r="F40" i="3" s="1"/>
  <c r="E36" i="6" s="1"/>
  <c r="C40" i="3"/>
  <c r="C39" i="3"/>
  <c r="D36" i="6"/>
  <c r="I2" i="4"/>
  <c r="I2" i="6"/>
  <c r="F2" i="8"/>
  <c r="F2" i="3"/>
  <c r="C71" i="4"/>
  <c r="C67" i="4"/>
  <c r="F35" i="3"/>
  <c r="D36" i="3"/>
  <c r="F36" i="3" s="1"/>
  <c r="C36" i="3"/>
  <c r="D35" i="3"/>
  <c r="C35" i="3"/>
  <c r="C15" i="3"/>
  <c r="F15" i="3"/>
  <c r="D43" i="6" s="1"/>
  <c r="D15" i="3"/>
  <c r="D21" i="3"/>
  <c r="C63" i="4"/>
  <c r="A2" i="7"/>
  <c r="A2" i="2"/>
  <c r="C59" i="4"/>
  <c r="C41" i="3"/>
  <c r="D41" i="3"/>
  <c r="F41" i="3" s="1"/>
  <c r="E35" i="6" s="1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32" i="3"/>
  <c r="D32" i="3"/>
  <c r="D31" i="3"/>
  <c r="F31" i="3" s="1"/>
  <c r="F32" i="3" s="1"/>
  <c r="E34" i="6" s="1"/>
  <c r="C31" i="3"/>
  <c r="C25" i="3"/>
  <c r="D24" i="3"/>
  <c r="F24" i="3" s="1"/>
  <c r="D63" i="6" s="1"/>
  <c r="D25" i="3"/>
  <c r="F25" i="3" s="1"/>
  <c r="D58" i="6" s="1"/>
  <c r="C24" i="3"/>
  <c r="D22" i="3"/>
  <c r="F22" i="3" s="1"/>
  <c r="D54" i="6" s="1"/>
  <c r="D23" i="3"/>
  <c r="F23" i="3" s="1"/>
  <c r="D64" i="6" s="1"/>
  <c r="C22" i="3"/>
  <c r="C23" i="3"/>
  <c r="F21" i="3"/>
  <c r="D53" i="6" s="1"/>
  <c r="D18" i="3"/>
  <c r="F18" i="3" s="1"/>
  <c r="D45" i="6" s="1"/>
  <c r="C18" i="3"/>
  <c r="C17" i="3"/>
  <c r="D17" i="3"/>
  <c r="F17" i="3" s="1"/>
  <c r="C16" i="3"/>
  <c r="C14" i="3"/>
  <c r="F14" i="3"/>
  <c r="F25" i="6" s="1"/>
  <c r="G16" i="6" s="1"/>
  <c r="C11" i="3"/>
  <c r="F11" i="3"/>
  <c r="D24" i="6" s="1"/>
  <c r="D10" i="3"/>
  <c r="F10" i="3" s="1"/>
  <c r="F24" i="6" s="1"/>
  <c r="C10" i="3"/>
  <c r="G19" i="6" l="1"/>
  <c r="H19" i="6"/>
  <c r="F19" i="6"/>
  <c r="F36" i="6"/>
  <c r="D33" i="6"/>
  <c r="F33" i="6" s="1"/>
  <c r="D34" i="6"/>
  <c r="F34" i="6" s="1"/>
  <c r="I34" i="6" s="1"/>
  <c r="D35" i="6"/>
  <c r="G35" i="6" s="1"/>
  <c r="C21" i="3"/>
  <c r="G17" i="6"/>
  <c r="H17" i="6"/>
  <c r="G18" i="6"/>
  <c r="F18" i="6"/>
  <c r="F17" i="6"/>
  <c r="H18" i="6"/>
  <c r="H16" i="6"/>
  <c r="F16" i="6"/>
  <c r="G24" i="6"/>
  <c r="D66" i="6"/>
  <c r="D44" i="6"/>
  <c r="D47" i="6" s="1"/>
  <c r="D49" i="6" s="1"/>
  <c r="G38" i="6" l="1"/>
  <c r="G9" i="6" s="1"/>
  <c r="F38" i="6"/>
  <c r="F9" i="6" s="1"/>
  <c r="I36" i="6"/>
  <c r="H35" i="6"/>
  <c r="I33" i="6"/>
  <c r="I19" i="6"/>
  <c r="I17" i="6"/>
  <c r="I18" i="6"/>
  <c r="I16" i="6"/>
  <c r="D25" i="6"/>
  <c r="G25" i="6" s="1"/>
  <c r="D57" i="6"/>
  <c r="G38" i="9" l="1"/>
  <c r="G15" i="9"/>
  <c r="F38" i="9"/>
  <c r="F15" i="9"/>
  <c r="H38" i="6"/>
  <c r="H9" i="6" s="1"/>
  <c r="I35" i="6"/>
  <c r="I38" i="6" s="1"/>
  <c r="D60" i="6"/>
  <c r="D68" i="6" s="1"/>
  <c r="D26" i="6" s="1"/>
  <c r="G26" i="6" s="1"/>
  <c r="G28" i="6" s="1"/>
  <c r="H15" i="9" l="1"/>
  <c r="H38" i="9"/>
  <c r="H39" i="9" s="1"/>
  <c r="F44" i="9" s="1"/>
  <c r="G49" i="9" s="1"/>
  <c r="I9" i="6"/>
  <c r="G39" i="9"/>
  <c r="F39" i="9"/>
  <c r="H26" i="6"/>
  <c r="G8" i="6"/>
  <c r="F8" i="6"/>
  <c r="H8" i="6"/>
  <c r="H28" i="6"/>
  <c r="H24" i="6"/>
  <c r="H25" i="6"/>
  <c r="H14" i="9" l="1"/>
  <c r="H16" i="9" s="1"/>
  <c r="H36" i="9"/>
  <c r="F36" i="9"/>
  <c r="F14" i="9"/>
  <c r="F16" i="9" s="1"/>
  <c r="F17" i="9" s="1"/>
  <c r="G36" i="9"/>
  <c r="G14" i="9"/>
  <c r="G16" i="9" s="1"/>
  <c r="H10" i="6"/>
  <c r="F10" i="6"/>
  <c r="G10" i="6"/>
  <c r="I8" i="6"/>
  <c r="I10" i="6" s="1"/>
  <c r="I38" i="9" l="1"/>
  <c r="F19" i="9"/>
  <c r="G17" i="9"/>
  <c r="B9" i="9"/>
  <c r="F37" i="9"/>
  <c r="H37" i="9"/>
  <c r="G37" i="9"/>
  <c r="H40" i="9" l="1"/>
  <c r="B11" i="9" s="1"/>
  <c r="F46" i="9"/>
  <c r="H41" i="9"/>
  <c r="B10" i="9" s="1"/>
  <c r="G19" i="9"/>
  <c r="H17" i="9"/>
  <c r="H19" i="9" s="1"/>
  <c r="E29" i="9" l="1"/>
  <c r="E28" i="9"/>
  <c r="E27" i="9"/>
  <c r="B20" i="9"/>
  <c r="F45" i="9"/>
  <c r="G50" i="9" s="1"/>
  <c r="F49" i="9"/>
  <c r="E31" i="9" l="1"/>
  <c r="C11" i="6" s="1"/>
</calcChain>
</file>

<file path=xl/sharedStrings.xml><?xml version="1.0" encoding="utf-8"?>
<sst xmlns="http://schemas.openxmlformats.org/spreadsheetml/2006/main" count="490" uniqueCount="317">
  <si>
    <t>Settings</t>
  </si>
  <si>
    <t>Purpose</t>
  </si>
  <si>
    <t>Reference</t>
  </si>
  <si>
    <t>To store the administrative assumptions and settings</t>
  </si>
  <si>
    <t>Change Log</t>
  </si>
  <si>
    <t>To track the change requests</t>
  </si>
  <si>
    <t>Changes</t>
  </si>
  <si>
    <t>Q</t>
  </si>
  <si>
    <t>Default</t>
  </si>
  <si>
    <t>Setting</t>
  </si>
  <si>
    <t>Used</t>
  </si>
  <si>
    <t>Question</t>
  </si>
  <si>
    <t>Number of cages (shoe box pens) used for the strain</t>
  </si>
  <si>
    <t>The total number of cages, measured in shoe box pens, used for the strain</t>
  </si>
  <si>
    <t>Average strain uses 10 cages</t>
  </si>
  <si>
    <t>Per cage per diem rate</t>
  </si>
  <si>
    <t>Typical range is $0 to $2</t>
  </si>
  <si>
    <t>Notes</t>
  </si>
  <si>
    <t>Hours per week spent maintaining the line</t>
  </si>
  <si>
    <t>Average annual salary of staff</t>
  </si>
  <si>
    <t>Typical range is 1 to 5</t>
  </si>
  <si>
    <t>Include travel from lab to vivarium, setting breeders, euthanizing animals, record keeping, etc. Exclude activities covered by per diem rate or genotyping-related activities.</t>
  </si>
  <si>
    <t>Exclude overhead and benefits</t>
  </si>
  <si>
    <t>Average hourly rate of staff</t>
  </si>
  <si>
    <t>Benefit rate as a percent of pay</t>
  </si>
  <si>
    <t>The average staff overhead and benefit rate expressed as a percentage of base pay</t>
  </si>
  <si>
    <t>Typical range is 28%-40%</t>
  </si>
  <si>
    <t>Admin Settings</t>
  </si>
  <si>
    <t>List of Choices for selected questions</t>
  </si>
  <si>
    <t>Who performs genotying</t>
  </si>
  <si>
    <t>Internal Staff</t>
  </si>
  <si>
    <t>Outside Svc</t>
  </si>
  <si>
    <t>Options</t>
  </si>
  <si>
    <t>Number of samples per month</t>
  </si>
  <si>
    <t>Number of samples genotyped per month</t>
  </si>
  <si>
    <t>Price per sample</t>
  </si>
  <si>
    <t>Cage Cost Utilization</t>
  </si>
  <si>
    <t>Staff Time to Maintain the Colony</t>
  </si>
  <si>
    <t>Genotyping</t>
  </si>
  <si>
    <t>Staff hours per month</t>
  </si>
  <si>
    <t>Include genotyping hours (collecting tails, DNA isolation, PCR, Analysis)</t>
  </si>
  <si>
    <t>V</t>
  </si>
  <si>
    <t>Status</t>
  </si>
  <si>
    <t>Item</t>
  </si>
  <si>
    <t>Update conditional formatting on text on Settings to mirror the conditional formatting on the input cells</t>
  </si>
  <si>
    <t>Maybe do heirarchy on Settings to make input more clear</t>
  </si>
  <si>
    <t>Add the "IF NEEDED" section to the genotyping calculator (copy from client sample)</t>
  </si>
  <si>
    <t>Cryopreservation</t>
  </si>
  <si>
    <t>Yes No Questions</t>
  </si>
  <si>
    <t>Answer</t>
  </si>
  <si>
    <t>Yes</t>
  </si>
  <si>
    <t>No</t>
  </si>
  <si>
    <t>How many times over the next 2 years will you recover this strain? Note: Each recovery typically yields 10 or more pups and consumes 1 straw of frozen sperm.   The cost for each recovery attempt is $1,395.</t>
  </si>
  <si>
    <t>Incorporate the "additional help" section from the client sample.  Perhaps we set up a whole sheet with hyperlinks to navigate to the explanation instead of trying to squish it all onto one sheet</t>
  </si>
  <si>
    <t>Questions</t>
  </si>
  <si>
    <t>Company</t>
  </si>
  <si>
    <t>Table Results</t>
  </si>
  <si>
    <t>Cost Comparisons</t>
  </si>
  <si>
    <t>Additional Factors</t>
  </si>
  <si>
    <t>Understanding Your Current Costs</t>
  </si>
  <si>
    <t>Understanding Cryopreservation and Recovery Costs</t>
  </si>
  <si>
    <t>Live Colony Costs</t>
  </si>
  <si>
    <t>Year 1</t>
  </si>
  <si>
    <t>Year 2</t>
  </si>
  <si>
    <t>Year 3</t>
  </si>
  <si>
    <t>Cost Category</t>
  </si>
  <si>
    <t>Cages utilitized - per diem rates</t>
  </si>
  <si>
    <t>Staff time for colony maintenance</t>
  </si>
  <si>
    <t>Genotyping costs</t>
  </si>
  <si>
    <t>Annualized colongy maintenance costs</t>
  </si>
  <si>
    <t>Rate</t>
  </si>
  <si>
    <t>Units</t>
  </si>
  <si>
    <t>Annual</t>
  </si>
  <si>
    <t>%Total</t>
  </si>
  <si>
    <t>day</t>
  </si>
  <si>
    <t>hrs/wk</t>
  </si>
  <si>
    <t>cost/mo</t>
  </si>
  <si>
    <t>In</t>
  </si>
  <si>
    <t>Labor Costs</t>
  </si>
  <si>
    <t>Hourly</t>
  </si>
  <si>
    <t>Maintenance Instructions</t>
  </si>
  <si>
    <t>Current Cost Details</t>
  </si>
  <si>
    <t>Labor cost expressed as</t>
  </si>
  <si>
    <t>Labor costs expressed as hourly rate or annual salary</t>
  </si>
  <si>
    <t>Overhead and benefit rate</t>
  </si>
  <si>
    <t>Fully burdened labor</t>
  </si>
  <si>
    <t>Fully burdened hourly rate</t>
  </si>
  <si>
    <t>Staff Time - Labor Rate</t>
  </si>
  <si>
    <t>Genotyping required</t>
  </si>
  <si>
    <t>Genotyping performed by</t>
  </si>
  <si>
    <t>Internal Staff Cost</t>
  </si>
  <si>
    <t>Outside Service Cost</t>
  </si>
  <si>
    <t>Samples per month</t>
  </si>
  <si>
    <t>Genotyping Rate</t>
  </si>
  <si>
    <t>Hours per month</t>
  </si>
  <si>
    <t>Monthly Internal Staff Cost</t>
  </si>
  <si>
    <t>Monthly Outside Service Cost</t>
  </si>
  <si>
    <t>Sperm Cryo Cost (one time)</t>
  </si>
  <si>
    <t>Annual cryo and recovery costs</t>
  </si>
  <si>
    <t>Total</t>
  </si>
  <si>
    <t>Reduction in mice used</t>
  </si>
  <si>
    <t>Incorporate the "IF NEEDED" section to the "Other savings" table, specifically, the annual number of staff hours saved (compare to client sample for math)</t>
  </si>
  <si>
    <t>Annual research assistant hours saved - colony maintenance</t>
  </si>
  <si>
    <t>Annual research assistant hours saved - genotyping</t>
  </si>
  <si>
    <t>Weeks per year</t>
  </si>
  <si>
    <t>Hours per year</t>
  </si>
  <si>
    <t>Days per year</t>
  </si>
  <si>
    <t>Months per year</t>
  </si>
  <si>
    <t>Cage space saved (# of cage-days)</t>
  </si>
  <si>
    <t>Volume</t>
  </si>
  <si>
    <t>Done</t>
  </si>
  <si>
    <t>Date</t>
  </si>
  <si>
    <t>JAXBg</t>
  </si>
  <si>
    <t>R</t>
  </si>
  <si>
    <t>G</t>
  </si>
  <si>
    <t>B</t>
  </si>
  <si>
    <t>JAXHelp</t>
  </si>
  <si>
    <t>JAXInput</t>
  </si>
  <si>
    <t>Style Guide</t>
  </si>
  <si>
    <t>Styles-Original Fill</t>
  </si>
  <si>
    <t>Teal</t>
  </si>
  <si>
    <t>Gray</t>
  </si>
  <si>
    <t>Blue</t>
  </si>
  <si>
    <t>Red</t>
  </si>
  <si>
    <t>Orange</t>
  </si>
  <si>
    <t>Yellow</t>
  </si>
  <si>
    <t>Blue2</t>
  </si>
  <si>
    <t>Blue3</t>
  </si>
  <si>
    <t>Admin | update maintenance instructions</t>
  </si>
  <si>
    <t>Help section for question 4</t>
  </si>
  <si>
    <t>Optional Items</t>
  </si>
  <si>
    <t>Start Here</t>
  </si>
  <si>
    <t>COLONY MAINTENANCE</t>
  </si>
  <si>
    <t>Cryo Options</t>
  </si>
  <si>
    <t>Option</t>
  </si>
  <si>
    <t>Freeze Team</t>
  </si>
  <si>
    <t>Years of storage included</t>
  </si>
  <si>
    <t>References</t>
  </si>
  <si>
    <t>Strains</t>
  </si>
  <si>
    <t>C57BL/6J</t>
  </si>
  <si>
    <t>DBA/2J</t>
  </si>
  <si>
    <t>C3H/HeJ</t>
  </si>
  <si>
    <t>FVB/NJ</t>
  </si>
  <si>
    <t>B6C3F1/J</t>
  </si>
  <si>
    <t>B6129SF1/J</t>
  </si>
  <si>
    <t>DBA/1J</t>
  </si>
  <si>
    <t>NOD/ShiLtJ</t>
  </si>
  <si>
    <t>BALB/cByJ</t>
  </si>
  <si>
    <t>BALB/cJ</t>
  </si>
  <si>
    <t>A/J</t>
  </si>
  <si>
    <t>C57BL/10J</t>
  </si>
  <si>
    <t>129X1/SvJ</t>
  </si>
  <si>
    <t>129S1/SvlmJ</t>
  </si>
  <si>
    <t>Oocyte Donor</t>
  </si>
  <si>
    <t>StockNum</t>
  </si>
  <si>
    <t>Price</t>
  </si>
  <si>
    <t>000664</t>
  </si>
  <si>
    <t>000665</t>
  </si>
  <si>
    <t>000670</t>
  </si>
  <si>
    <t>000671</t>
  </si>
  <si>
    <t>000659</t>
  </si>
  <si>
    <t>001800</t>
  </si>
  <si>
    <t>100010</t>
  </si>
  <si>
    <t>101043</t>
  </si>
  <si>
    <t>001976</t>
  </si>
  <si>
    <t>001026</t>
  </si>
  <si>
    <t>000651</t>
  </si>
  <si>
    <t>000646</t>
  </si>
  <si>
    <t>000691</t>
  </si>
  <si>
    <t>002448</t>
  </si>
  <si>
    <t>QCRequired</t>
  </si>
  <si>
    <t>Oocyte donor strain</t>
  </si>
  <si>
    <t>Required for A/J, C57BL/10J, 129X1/SvJ, and 129S1/SvlmJ strains.   Additional fees of $685 apply</t>
  </si>
  <si>
    <t>Initial QC live born mice (Required for certain donors)</t>
  </si>
  <si>
    <t>Prices</t>
  </si>
  <si>
    <t>SpeedRederivation</t>
  </si>
  <si>
    <t>Recovery</t>
  </si>
  <si>
    <t>QC Recovery</t>
  </si>
  <si>
    <t>Discount</t>
  </si>
  <si>
    <t>Years of storage included in above costs</t>
  </si>
  <si>
    <t>Allow User Selection</t>
  </si>
  <si>
    <t>UI</t>
  </si>
  <si>
    <t>The purpose of this workbook is to estimate cost savings between live colony maintenance and our cryo services.</t>
  </si>
  <si>
    <t>Organization</t>
  </si>
  <si>
    <t>Chart</t>
  </si>
  <si>
    <t>Tables</t>
  </si>
  <si>
    <t>Chart demonstrating cost comparison</t>
  </si>
  <si>
    <t>Detailed supporting calculations</t>
  </si>
  <si>
    <t>Terms and questions reference</t>
  </si>
  <si>
    <t>Sheet</t>
  </si>
  <si>
    <t>Description</t>
  </si>
  <si>
    <t>Enter assumptions and select options</t>
  </si>
  <si>
    <t>Payback</t>
  </si>
  <si>
    <t>Elimination of current costs "Inflows"</t>
  </si>
  <si>
    <t>Cryo investment "Outflows"</t>
  </si>
  <si>
    <t>Net cash flow</t>
  </si>
  <si>
    <t>Cumulative Cash Flow</t>
  </si>
  <si>
    <t>Payback Event</t>
  </si>
  <si>
    <t>Payback year</t>
  </si>
  <si>
    <t>JAX® Mice and Services</t>
  </si>
  <si>
    <t>Number of female breeders used per cage for this strain</t>
  </si>
  <si>
    <t>Female breeders</t>
  </si>
  <si>
    <t>Number</t>
  </si>
  <si>
    <t>PDR</t>
  </si>
  <si>
    <t>LMH</t>
  </si>
  <si>
    <t>LCT</t>
  </si>
  <si>
    <t>SSA</t>
  </si>
  <si>
    <t>SSH</t>
  </si>
  <si>
    <t>BOR</t>
  </si>
  <si>
    <t>NCS</t>
  </si>
  <si>
    <t>GTR</t>
  </si>
  <si>
    <t>GTS</t>
  </si>
  <si>
    <t>SPM</t>
  </si>
  <si>
    <t>PPS</t>
  </si>
  <si>
    <t>HPM</t>
  </si>
  <si>
    <t>CPO</t>
  </si>
  <si>
    <t>OOS</t>
  </si>
  <si>
    <t>IQC</t>
  </si>
  <si>
    <t>BPC</t>
  </si>
  <si>
    <t>LSA</t>
  </si>
  <si>
    <t>YSI</t>
  </si>
  <si>
    <t>YSA</t>
  </si>
  <si>
    <t>NRP</t>
  </si>
  <si>
    <t>Cumulative Cost Comparison</t>
  </si>
  <si>
    <t>Live colony costs</t>
  </si>
  <si>
    <t>Cryo costs</t>
  </si>
  <si>
    <t>Savings</t>
  </si>
  <si>
    <t>Cryo as a percentage of live colony</t>
  </si>
  <si>
    <t>Savings %</t>
  </si>
  <si>
    <t>Chart Data</t>
  </si>
  <si>
    <t>To provide data for chart presentations</t>
  </si>
  <si>
    <t>Text Boxes</t>
  </si>
  <si>
    <t>Donut</t>
  </si>
  <si>
    <t>Costs</t>
  </si>
  <si>
    <t>Live</t>
  </si>
  <si>
    <t>Cryo</t>
  </si>
  <si>
    <t>Inputs</t>
  </si>
  <si>
    <t>Cost benefit analysis is designed to evaluate a period of three years, which requires input of one extra year of storage to provide a true comparison over the time period.</t>
  </si>
  <si>
    <t>done</t>
  </si>
  <si>
    <t>Sperm Cryo and Recovery Costs</t>
  </si>
  <si>
    <t>Cost Savings with Sperm Cryo</t>
  </si>
  <si>
    <t>Sperm Cryo delivery options</t>
  </si>
  <si>
    <t>EZ Frz Express</t>
  </si>
  <si>
    <t>Standard</t>
  </si>
  <si>
    <t>The PerDiem rate per cage tends to range $0.60 to $2.50 per day in most academic vivariums</t>
  </si>
  <si>
    <t>JAX ® CRYOPRESERVATION AND RECOVERY SERVICES</t>
  </si>
  <si>
    <t>Does your strain requires genotyping?</t>
  </si>
  <si>
    <t>Who performs genotyping?</t>
  </si>
  <si>
    <t>Average litter size (max 10)</t>
  </si>
  <si>
    <t>Additional years of storage (max 5)</t>
  </si>
  <si>
    <t>Number of recovery procedures within the storage timeframe (max 3)</t>
  </si>
  <si>
    <t>Recovery of live mice for QC (one time)</t>
  </si>
  <si>
    <t>Cryo recovery costs (per request)</t>
  </si>
  <si>
    <t>Extra storage costs (per year)</t>
  </si>
  <si>
    <t>Litters per year per female</t>
  </si>
  <si>
    <t>Side by Side Comparison</t>
  </si>
  <si>
    <t>Charts</t>
  </si>
  <si>
    <t>This chart compares Live Colony and Cryo Costs.  
Projected Savings are indicated by green outlined area on top of Cryo costs column.</t>
  </si>
  <si>
    <t>This chart indicates costs accumulated over time.
The area under each line represents total cumulative costs.</t>
  </si>
  <si>
    <t>Annual Cost Comparison</t>
  </si>
  <si>
    <t>This chart compares the annual cost for Live colony and cryo.
A cumulative savings amount is computed and displayed for reference.</t>
  </si>
  <si>
    <t>Begin by entering your selections and basic information into the Inputs sheet to see the results in the Chart and Tables sheets.</t>
  </si>
  <si>
    <t>Support</t>
  </si>
  <si>
    <t>For support:</t>
  </si>
  <si>
    <t>Click Consulting, Inc.</t>
  </si>
  <si>
    <t>Jeff Lenning</t>
  </si>
  <si>
    <t>www.clickconsulting.com</t>
  </si>
  <si>
    <t>562-430-5716</t>
  </si>
  <si>
    <t>Addl storage cost per year</t>
  </si>
  <si>
    <t>This section provide a place for the administrator to define global settings.</t>
  </si>
  <si>
    <t>The table below allows you to specify the Donor type and related attributes.</t>
  </si>
  <si>
    <t>At this time, the colums are used in the following locations:</t>
  </si>
  <si>
    <t>As the source for the drop down selection on the Inputs sheet</t>
  </si>
  <si>
    <t>Not used, provided for reference only</t>
  </si>
  <si>
    <t>Used on the Inputs sheet: if TRUE a user can't opt out of QC; if FALSE a user can opt for QC</t>
  </si>
  <si>
    <t>Used on the Tables computations, to determine cryo recovery Rate</t>
  </si>
  <si>
    <t>Used on the Tables computations, to determine the recovery of live mice Rate</t>
  </si>
  <si>
    <t>Used on the Tables computations, to determine sperm cryo cost Rate</t>
  </si>
  <si>
    <t>This section provides data primarily to the Inputs and Reference tab, and enables the Administrator to make system wide changes easily in the Table below.</t>
  </si>
  <si>
    <t>The columns:</t>
  </si>
  <si>
    <t>The UNIQUE question ID, used on Inputs and Reference</t>
  </si>
  <si>
    <t>The text in this column flows to the Inputs sheet</t>
  </si>
  <si>
    <t>The text in this column flows to the Reference sheet</t>
  </si>
  <si>
    <t>The default value flows up to the Inputs sheet</t>
  </si>
  <si>
    <t>Not used, for internal reference only</t>
  </si>
  <si>
    <t>This section provides the lists of choices in various drop down lists throughout the workbook.</t>
  </si>
  <si>
    <t>The columns used in the table below are as follows:</t>
  </si>
  <si>
    <t>Years of storage</t>
  </si>
  <si>
    <t>To display in the Inputs sheet, for question CPO; sperm cryo delivery options</t>
  </si>
  <si>
    <t>Allows admin to control whether this choice flows to the users drop down box on the inputs page</t>
  </si>
  <si>
    <t>This value flows up to the Inputs sheet to question YSI</t>
  </si>
  <si>
    <t>Discount is used on the Tables sheet, to alter the Sperm Cryo Cost Rate value</t>
  </si>
  <si>
    <t>This column is actually the one that flows up to the drop down on the Inputs sheet</t>
  </si>
  <si>
    <t>To change any text on the sheets, simply unprotect the sheet and make any necessary changes.</t>
  </si>
  <si>
    <t>To alter the text of a question, or the way the question is phrased: adjust it in the Table above not directly on the Inputs sheet</t>
  </si>
  <si>
    <t>To change the Reference text: adjust it in the Table above not directly on the Inputs sheet</t>
  </si>
  <si>
    <t>To change the underlying data for the charts: update the hidden ChartData sheet</t>
  </si>
  <si>
    <t>payback number</t>
  </si>
  <si>
    <t>additional info hyperlinks on the Tables sheet</t>
  </si>
  <si>
    <t>Assuming straightline monthly:</t>
  </si>
  <si>
    <t>Payback = Y + A/B</t>
  </si>
  <si>
    <t>Where:</t>
  </si>
  <si>
    <t>Y is number of years before final payback year (ie, "X" above minus 1)</t>
  </si>
  <si>
    <t>A is the total remaining to be paid back at the start of the payback year to bring cumulative cash flow to 0 (year before the "X" cumulative cf)</t>
  </si>
  <si>
    <t>Years</t>
  </si>
  <si>
    <t>Y</t>
  </si>
  <si>
    <t>A</t>
  </si>
  <si>
    <r>
      <t xml:space="preserve">B is the total </t>
    </r>
    <r>
      <rPr>
        <i/>
        <sz val="10"/>
        <color theme="1"/>
        <rFont val="Arial"/>
        <family val="2"/>
      </rPr>
      <t>net</t>
    </r>
    <r>
      <rPr>
        <sz val="10"/>
        <color theme="1"/>
        <rFont val="Arial"/>
        <family val="2"/>
      </rPr>
      <t xml:space="preserve"> paid back in the entire payback year</t>
    </r>
  </si>
  <si>
    <t>PBK</t>
  </si>
  <si>
    <t>Used in Tables UI</t>
  </si>
  <si>
    <t>Simple payback is an estimate of the time required for the initial investment in cryo to be paid back through reductions in live colony costs.</t>
  </si>
  <si>
    <t>More Info</t>
  </si>
  <si>
    <t>insert names for settings values and use them in formulas once all settings are finalized | to facilitate transparency, left references as row/column instead of named</t>
  </si>
  <si>
    <t>top chart numbers - remove savings series and remove numbers from each series point</t>
  </si>
  <si>
    <t>QCLB price for Sperm Cryo will go up to $700 from $685</t>
  </si>
  <si>
    <t>standard  cryo recovery price will increase from $1,450 to $1,650</t>
  </si>
  <si>
    <t>update prices per the new catalog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</si>
</sst>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3F3F76"/>
      <name val="Arial"/>
      <family val="2"/>
    </font>
    <font>
      <u/>
      <sz val="10"/>
      <color theme="10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1"/>
      <color theme="0"/>
      <name val="Arial"/>
      <family val="2"/>
    </font>
    <font>
      <sz val="14"/>
      <color rgb="FF6C6F70"/>
      <name val="Arial"/>
      <family val="2"/>
    </font>
    <font>
      <sz val="12"/>
      <color rgb="FF6C6F70"/>
      <name val="Arial"/>
      <family val="2"/>
    </font>
    <font>
      <u/>
      <sz val="8"/>
      <color theme="10"/>
      <name val="Arial"/>
      <family val="2"/>
    </font>
    <font>
      <u/>
      <sz val="10"/>
      <color rgb="FF0000FF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8472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3479"/>
        <bgColor indexed="64"/>
      </patternFill>
    </fill>
    <fill>
      <patternFill patternType="solid">
        <fgColor rgb="FF71273D"/>
        <bgColor indexed="64"/>
      </patternFill>
    </fill>
    <fill>
      <patternFill patternType="solid">
        <fgColor rgb="FFEA7125"/>
        <bgColor indexed="64"/>
      </patternFill>
    </fill>
    <fill>
      <patternFill patternType="solid">
        <fgColor rgb="FFB5BF00"/>
        <bgColor indexed="64"/>
      </patternFill>
    </fill>
    <fill>
      <patternFill patternType="solid">
        <fgColor rgb="FF0095C3"/>
        <bgColor indexed="64"/>
      </patternFill>
    </fill>
    <fill>
      <patternFill patternType="solid">
        <fgColor rgb="FF00759B"/>
        <bgColor indexed="64"/>
      </patternFill>
    </fill>
    <fill>
      <patternFill patternType="solid">
        <fgColor theme="4" tint="0.79998168889431442"/>
        <bgColor auto="1"/>
      </patternFill>
    </fill>
    <fill>
      <patternFill patternType="solid">
        <fgColor rgb="FFDBE5F1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rgb="FFEA7125"/>
      </right>
      <top/>
      <bottom/>
      <diagonal/>
    </border>
    <border>
      <left style="thick">
        <color rgb="FF71273D"/>
      </left>
      <right/>
      <top/>
      <bottom/>
      <diagonal/>
    </border>
    <border>
      <left style="thin">
        <color rgb="FF71273D"/>
      </left>
      <right style="thin">
        <color rgb="FF71273D"/>
      </right>
      <top style="thin">
        <color rgb="FF71273D"/>
      </top>
      <bottom style="medium">
        <color rgb="FF71273D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rgb="FF71273D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</borders>
  <cellStyleXfs count="11">
    <xf numFmtId="0" fontId="0" fillId="0" borderId="0"/>
    <xf numFmtId="0" fontId="1" fillId="11" borderId="2" applyNumberFormat="0" applyProtection="0"/>
    <xf numFmtId="0" fontId="5" fillId="2" borderId="3" applyNumberFormat="0" applyAlignment="0" applyProtection="0"/>
    <xf numFmtId="0" fontId="9" fillId="13" borderId="0" applyNumberFormat="0" applyAlignment="0" applyProtection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1" fillId="12" borderId="6" applyNumberFormat="0" applyAlignment="0" applyProtection="0">
      <alignment vertical="top" wrapText="1"/>
    </xf>
    <xf numFmtId="0" fontId="7" fillId="0" borderId="0" applyNumberFormat="0" applyFill="0" applyBorder="0" applyAlignment="0" applyProtection="0"/>
    <xf numFmtId="0" fontId="10" fillId="0" borderId="11" applyNumberFormat="0" applyProtection="0">
      <alignment horizontal="centerContinuous"/>
    </xf>
    <xf numFmtId="0" fontId="10" fillId="0" borderId="9" applyNumberFormat="0" applyProtection="0">
      <alignment horizontal="right"/>
    </xf>
    <xf numFmtId="0" fontId="13" fillId="0" borderId="0" applyNumberFormat="0" applyFill="0" applyBorder="0" applyAlignment="0" applyProtection="0"/>
    <xf numFmtId="0" fontId="12" fillId="0" borderId="0" applyNumberFormat="0" applyProtection="0">
      <alignment horizontal="center"/>
    </xf>
  </cellStyleXfs>
  <cellXfs count="105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2" fillId="0" borderId="4" xfId="0" applyFont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0" xfId="0" applyNumberFormat="1" applyAlignment="1">
      <alignment horizontal="right"/>
    </xf>
    <xf numFmtId="0" fontId="9" fillId="13" borderId="0" xfId="3" applyAlignment="1">
      <alignment horizontal="left"/>
    </xf>
    <xf numFmtId="0" fontId="9" fillId="13" borderId="0" xfId="3" applyAlignment="1">
      <alignment horizontal="center"/>
    </xf>
    <xf numFmtId="0" fontId="9" fillId="13" borderId="0" xfId="3" applyAlignment="1"/>
    <xf numFmtId="164" fontId="9" fillId="13" borderId="0" xfId="3" applyNumberFormat="1" applyAlignment="1"/>
    <xf numFmtId="0" fontId="9" fillId="13" borderId="0" xfId="3" applyNumberFormat="1" applyAlignment="1"/>
    <xf numFmtId="0" fontId="0" fillId="0" borderId="0" xfId="0" applyBorder="1"/>
    <xf numFmtId="0" fontId="6" fillId="0" borderId="0" xfId="4" applyAlignment="1" applyProtection="1"/>
    <xf numFmtId="0" fontId="6" fillId="0" borderId="0" xfId="4" applyAlignment="1" applyProtection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0" fontId="7" fillId="0" borderId="0" xfId="0" applyFont="1"/>
    <xf numFmtId="0" fontId="8" fillId="13" borderId="0" xfId="3" applyFont="1" applyAlignment="1"/>
    <xf numFmtId="0" fontId="0" fillId="0" borderId="4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4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4" xfId="0" applyFont="1" applyBorder="1"/>
    <xf numFmtId="0" fontId="0" fillId="0" borderId="0" xfId="0" applyAlignment="1">
      <alignment horizontal="left"/>
    </xf>
    <xf numFmtId="165" fontId="0" fillId="0" borderId="4" xfId="0" applyNumberFormat="1" applyBorder="1"/>
    <xf numFmtId="14" fontId="0" fillId="0" borderId="0" xfId="0" applyNumberFormat="1"/>
    <xf numFmtId="0" fontId="2" fillId="0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0" fillId="0" borderId="0" xfId="7" applyBorder="1">
      <alignment horizontal="centerContinuous"/>
    </xf>
    <xf numFmtId="0" fontId="10" fillId="0" borderId="9" xfId="8">
      <alignment horizontal="right"/>
    </xf>
    <xf numFmtId="0" fontId="11" fillId="0" borderId="9" xfId="8" applyFont="1">
      <alignment horizontal="right"/>
    </xf>
    <xf numFmtId="4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9" fillId="14" borderId="0" xfId="3" applyFill="1" applyAlignment="1"/>
    <xf numFmtId="0" fontId="9" fillId="14" borderId="0" xfId="3" applyFill="1" applyAlignment="1">
      <alignment vertical="top" wrapText="1"/>
    </xf>
    <xf numFmtId="0" fontId="12" fillId="0" borderId="0" xfId="10" applyProtection="1">
      <alignment horizontal="center"/>
    </xf>
    <xf numFmtId="0" fontId="0" fillId="0" borderId="0" xfId="0" applyFont="1"/>
    <xf numFmtId="0" fontId="0" fillId="0" borderId="12" xfId="0" applyBorder="1"/>
    <xf numFmtId="0" fontId="2" fillId="0" borderId="0" xfId="0" applyFont="1" applyBorder="1"/>
    <xf numFmtId="0" fontId="0" fillId="0" borderId="13" xfId="0" applyBorder="1"/>
    <xf numFmtId="164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0" xfId="0" applyNumberFormat="1" applyBorder="1"/>
    <xf numFmtId="165" fontId="0" fillId="0" borderId="13" xfId="0" applyNumberFormat="1" applyBorder="1"/>
    <xf numFmtId="0" fontId="0" fillId="0" borderId="15" xfId="0" applyBorder="1" applyAlignment="1">
      <alignment horizontal="left" indent="1"/>
    </xf>
    <xf numFmtId="165" fontId="0" fillId="0" borderId="15" xfId="0" applyNumberFormat="1" applyBorder="1"/>
    <xf numFmtId="165" fontId="0" fillId="0" borderId="16" xfId="0" applyNumberFormat="1" applyBorder="1"/>
    <xf numFmtId="0" fontId="2" fillId="0" borderId="17" xfId="0" applyFont="1" applyFill="1" applyBorder="1" applyAlignment="1">
      <alignment horizontal="center"/>
    </xf>
    <xf numFmtId="0" fontId="0" fillId="0" borderId="18" xfId="0" applyBorder="1"/>
    <xf numFmtId="9" fontId="0" fillId="0" borderId="15" xfId="0" applyNumberFormat="1" applyBorder="1"/>
    <xf numFmtId="0" fontId="2" fillId="0" borderId="18" xfId="0" applyFont="1" applyBorder="1" applyAlignment="1">
      <alignment horizontal="center"/>
    </xf>
    <xf numFmtId="165" fontId="0" fillId="0" borderId="18" xfId="0" applyNumberFormat="1" applyBorder="1"/>
    <xf numFmtId="0" fontId="14" fillId="0" borderId="15" xfId="0" applyFont="1" applyBorder="1"/>
    <xf numFmtId="0" fontId="15" fillId="0" borderId="0" xfId="0" applyFont="1"/>
    <xf numFmtId="0" fontId="5" fillId="2" borderId="3" xfId="2" applyAlignment="1">
      <alignment horizontal="center"/>
    </xf>
    <xf numFmtId="165" fontId="5" fillId="2" borderId="3" xfId="2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8" fillId="13" borderId="0" xfId="3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9" fontId="7" fillId="0" borderId="0" xfId="0" applyNumberFormat="1" applyFont="1" applyAlignment="1">
      <alignment horizontal="left"/>
    </xf>
    <xf numFmtId="0" fontId="8" fillId="13" borderId="0" xfId="3" applyNumberFormat="1" applyFont="1" applyAlignment="1">
      <alignment horizontal="left"/>
    </xf>
    <xf numFmtId="0" fontId="1" fillId="11" borderId="5" xfId="1" applyBorder="1" applyAlignment="1" applyProtection="1">
      <alignment horizontal="center"/>
      <protection locked="0"/>
    </xf>
    <xf numFmtId="164" fontId="1" fillId="11" borderId="5" xfId="1" applyNumberFormat="1" applyBorder="1" applyAlignment="1" applyProtection="1">
      <alignment horizontal="center"/>
      <protection locked="0"/>
    </xf>
    <xf numFmtId="0" fontId="1" fillId="11" borderId="5" xfId="1" applyNumberFormat="1" applyBorder="1" applyAlignment="1" applyProtection="1">
      <alignment horizontal="center"/>
      <protection locked="0"/>
    </xf>
    <xf numFmtId="165" fontId="1" fillId="11" borderId="5" xfId="1" applyNumberFormat="1" applyBorder="1" applyAlignment="1" applyProtection="1">
      <alignment horizontal="center"/>
      <protection locked="0"/>
    </xf>
    <xf numFmtId="9" fontId="1" fillId="11" borderId="5" xfId="1" applyNumberFormat="1" applyBorder="1" applyAlignment="1" applyProtection="1">
      <alignment horizontal="center"/>
      <protection locked="0"/>
    </xf>
    <xf numFmtId="0" fontId="1" fillId="11" borderId="2" xfId="1" applyAlignment="1" applyProtection="1">
      <alignment horizontal="center"/>
      <protection locked="0"/>
    </xf>
    <xf numFmtId="0" fontId="12" fillId="0" borderId="0" xfId="10" applyProtection="1">
      <alignment horizontal="center"/>
      <protection locked="0"/>
    </xf>
    <xf numFmtId="0" fontId="0" fillId="0" borderId="0" xfId="0" applyBorder="1" applyAlignment="1">
      <alignment horizontal="center"/>
    </xf>
    <xf numFmtId="4" fontId="0" fillId="0" borderId="0" xfId="0" applyNumberFormat="1"/>
    <xf numFmtId="165" fontId="0" fillId="0" borderId="13" xfId="0" applyNumberFormat="1" applyBorder="1" applyAlignment="1">
      <alignment horizontal="right"/>
    </xf>
    <xf numFmtId="0" fontId="0" fillId="11" borderId="2" xfId="1" applyFont="1" applyAlignment="1" applyProtection="1">
      <alignment horizontal="center"/>
      <protection locked="0"/>
    </xf>
    <xf numFmtId="0" fontId="0" fillId="0" borderId="1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11" xfId="7" applyAlignment="1">
      <alignment horizontal="center"/>
    </xf>
    <xf numFmtId="0" fontId="0" fillId="0" borderId="0" xfId="0" applyAlignment="1">
      <alignment vertical="top" wrapText="1"/>
    </xf>
    <xf numFmtId="0" fontId="1" fillId="12" borderId="6" xfId="5" applyAlignment="1">
      <alignment vertical="top" wrapText="1"/>
    </xf>
  </cellXfs>
  <cellStyles count="11">
    <cellStyle name="Followed Hyperlink" xfId="9" builtinId="9" customBuiltin="1"/>
    <cellStyle name="Hyperlink" xfId="4" builtinId="8"/>
    <cellStyle name="Input" xfId="2" builtinId="20"/>
    <cellStyle name="JAX Hyperlink" xfId="10"/>
    <cellStyle name="JAXBackground" xfId="3"/>
    <cellStyle name="JAXDefault" xfId="6"/>
    <cellStyle name="JAXHeader" xfId="7"/>
    <cellStyle name="JAXHelp" xfId="5"/>
    <cellStyle name="JAXInput" xfId="1"/>
    <cellStyle name="JAXRight" xfId="8"/>
    <cellStyle name="Normal" xfId="0" builtinId="0"/>
  </cellStyles>
  <dxfs count="13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30" formatCode="@"/>
    </dxf>
    <dxf>
      <numFmt numFmtId="0" formatCode="General"/>
    </dxf>
    <dxf>
      <numFmt numFmtId="13" formatCode="0%"/>
    </dxf>
    <dxf>
      <font>
        <b val="0"/>
        <i/>
        <color theme="0" tint="-0.34998626667073579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 patternType="solid">
          <fgColor auto="1"/>
          <bgColor theme="0" tint="-4.9989318521683403E-2"/>
        </patternFill>
      </fill>
    </dxf>
    <dxf>
      <font>
        <b val="0"/>
        <i/>
        <color theme="0" tint="-0.34998626667073579"/>
      </font>
      <fill>
        <patternFill patternType="solid">
          <fgColor auto="1"/>
          <bgColor theme="0" tint="-4.9989318521683403E-2"/>
        </patternFill>
      </fill>
    </dxf>
    <dxf>
      <font>
        <b val="0"/>
        <i/>
        <color theme="0" tint="-0.34998626667073579"/>
      </font>
      <fill>
        <patternFill patternType="solid">
          <fgColor auto="1"/>
          <bgColor theme="0" tint="-4.9989318521683403E-2"/>
        </patternFill>
      </fill>
    </dxf>
    <dxf>
      <font>
        <b val="0"/>
        <i/>
        <color theme="0" tint="-0.34998626667073579"/>
      </font>
      <fill>
        <patternFill patternType="solid">
          <fgColor auto="1"/>
          <bgColor theme="0" tint="-4.9989318521683403E-2"/>
        </patternFill>
      </fill>
    </dxf>
    <dxf>
      <font>
        <b val="0"/>
        <i/>
        <color theme="0" tint="-0.34998626667073579"/>
      </font>
      <fill>
        <patternFill patternType="solid">
          <fgColor auto="1"/>
          <bgColor theme="0" tint="-4.9989318521683403E-2"/>
        </patternFill>
      </fill>
    </dxf>
  </dxfs>
  <tableStyles count="0" defaultTableStyle="TableStyleMedium9" defaultPivotStyle="PivotStyleLight16"/>
  <colors>
    <mruColors>
      <color rgb="FF0000FF"/>
      <color rgb="FF71273D"/>
      <color rgb="FFB5BF00"/>
      <color rgb="FFEA7125"/>
      <color rgb="FF6C6F70"/>
      <color rgb="FF003479"/>
      <color rgb="FF538ED5"/>
      <color rgb="FFDBE5F1"/>
      <color rgb="FF00759B"/>
      <color rgb="FF0095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Cost Comparison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4858757062146894E-2"/>
          <c:y val="0.25054267657883544"/>
          <c:w val="0.95028248587570596"/>
          <c:h val="0.457163594774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Tables!$C$8:$E$8</c:f>
              <c:strCache>
                <c:ptCount val="1"/>
                <c:pt idx="0">
                  <c:v>Live Colony Costs</c:v>
                </c:pt>
              </c:strCache>
            </c:strRef>
          </c:tx>
          <c:invertIfNegative val="0"/>
          <c:cat>
            <c:strRef>
              <c:f>Tables!$F$7:$H$7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Tables!$F$8:$H$8</c:f>
              <c:numCache>
                <c:formatCode>"$"#,##0</c:formatCode>
                <c:ptCount val="3"/>
                <c:pt idx="0">
                  <c:v>4951</c:v>
                </c:pt>
                <c:pt idx="1">
                  <c:v>4951</c:v>
                </c:pt>
                <c:pt idx="2">
                  <c:v>4951</c:v>
                </c:pt>
              </c:numCache>
            </c:numRef>
          </c:val>
        </c:ser>
        <c:ser>
          <c:idx val="1"/>
          <c:order val="1"/>
          <c:tx>
            <c:strRef>
              <c:f>Tables!$C$9:$E$9</c:f>
              <c:strCache>
                <c:ptCount val="1"/>
                <c:pt idx="0">
                  <c:v>Sperm Cryo and Recovery Costs</c:v>
                </c:pt>
              </c:strCache>
            </c:strRef>
          </c:tx>
          <c:spPr>
            <a:gradFill flip="none" rotWithShape="1">
              <a:gsLst>
                <a:gs pos="15000">
                  <a:schemeClr val="accent3"/>
                </a:gs>
                <a:gs pos="100000">
                  <a:schemeClr val="bg1"/>
                </a:gs>
              </a:gsLst>
              <a:lin ang="10800000" scaled="1"/>
              <a:tileRect/>
            </a:gradFill>
            <a:ln>
              <a:solidFill>
                <a:schemeClr val="accent3"/>
              </a:solidFill>
            </a:ln>
          </c:spPr>
          <c:invertIfNegative val="0"/>
          <c:cat>
            <c:strRef>
              <c:f>Tables!$F$7:$H$7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Tables!$F$9:$H$9</c:f>
              <c:numCache>
                <c:formatCode>"$"#,##0</c:formatCode>
                <c:ptCount val="3"/>
                <c:pt idx="0">
                  <c:v>1825</c:v>
                </c:pt>
                <c:pt idx="1">
                  <c:v>1600</c:v>
                </c:pt>
                <c:pt idx="2">
                  <c:v>1600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155648"/>
        <c:axId val="112173824"/>
      </c:barChart>
      <c:catAx>
        <c:axId val="112155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173824"/>
        <c:crosses val="autoZero"/>
        <c:auto val="1"/>
        <c:lblAlgn val="ctr"/>
        <c:lblOffset val="100"/>
        <c:noMultiLvlLbl val="0"/>
      </c:catAx>
      <c:valAx>
        <c:axId val="11217382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one"/>
        <c:crossAx val="112155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2758748906386694E-2"/>
          <c:y val="0.92620204926307281"/>
          <c:w val="0.84880752405949256"/>
          <c:h val="5.140842469318200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Side by Side Comparison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2998118079689"/>
          <c:y val="0.25054267657883544"/>
          <c:w val="0.67373542774158302"/>
          <c:h val="0.45689983884996566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ChartData!$F$35</c:f>
              <c:strCache>
                <c:ptCount val="1"/>
                <c:pt idx="0">
                  <c:v>Year 1</c:v>
                </c:pt>
              </c:strCache>
            </c:strRef>
          </c:tx>
          <c:invertIfNegative val="0"/>
          <c:dLbls>
            <c:delete val="1"/>
          </c:dLbls>
          <c:cat>
            <c:strRef>
              <c:f>(ChartData!$B$36,ChartData!$B$38)</c:f>
              <c:strCache>
                <c:ptCount val="2"/>
                <c:pt idx="0">
                  <c:v>Live colony costs</c:v>
                </c:pt>
                <c:pt idx="1">
                  <c:v>Cryo costs</c:v>
                </c:pt>
              </c:strCache>
            </c:strRef>
          </c:cat>
          <c:val>
            <c:numRef>
              <c:f>(ChartData!$F$36,ChartData!$F$38)</c:f>
              <c:numCache>
                <c:formatCode>"$"#,##0</c:formatCode>
                <c:ptCount val="2"/>
                <c:pt idx="0">
                  <c:v>4951</c:v>
                </c:pt>
                <c:pt idx="1">
                  <c:v>1825</c:v>
                </c:pt>
              </c:numCache>
            </c:numRef>
          </c:val>
        </c:ser>
        <c:ser>
          <c:idx val="4"/>
          <c:order val="1"/>
          <c:tx>
            <c:strRef>
              <c:f>ChartData!$G$35</c:f>
              <c:strCache>
                <c:ptCount val="1"/>
                <c:pt idx="0">
                  <c:v>Year 2</c:v>
                </c:pt>
              </c:strCache>
            </c:strRef>
          </c:tx>
          <c:invertIfNegative val="0"/>
          <c:dLbls>
            <c:delete val="1"/>
          </c:dLbls>
          <c:cat>
            <c:strRef>
              <c:f>(ChartData!$B$36,ChartData!$B$38)</c:f>
              <c:strCache>
                <c:ptCount val="2"/>
                <c:pt idx="0">
                  <c:v>Live colony costs</c:v>
                </c:pt>
                <c:pt idx="1">
                  <c:v>Cryo costs</c:v>
                </c:pt>
              </c:strCache>
            </c:strRef>
          </c:cat>
          <c:val>
            <c:numRef>
              <c:f>(ChartData!$G$36,ChartData!$G$38)</c:f>
              <c:numCache>
                <c:formatCode>"$"#,##0</c:formatCode>
                <c:ptCount val="2"/>
                <c:pt idx="0">
                  <c:v>4951</c:v>
                </c:pt>
                <c:pt idx="1">
                  <c:v>1600</c:v>
                </c:pt>
              </c:numCache>
            </c:numRef>
          </c:val>
        </c:ser>
        <c:ser>
          <c:idx val="5"/>
          <c:order val="2"/>
          <c:tx>
            <c:strRef>
              <c:f>ChartData!$H$35</c:f>
              <c:strCache>
                <c:ptCount val="1"/>
                <c:pt idx="0">
                  <c:v>Year 3</c:v>
                </c:pt>
              </c:strCache>
            </c:strRef>
          </c:tx>
          <c:invertIfNegative val="0"/>
          <c:dLbls>
            <c:delete val="1"/>
          </c:dLbls>
          <c:cat>
            <c:strRef>
              <c:f>(ChartData!$B$36,ChartData!$B$38)</c:f>
              <c:strCache>
                <c:ptCount val="2"/>
                <c:pt idx="0">
                  <c:v>Live colony costs</c:v>
                </c:pt>
                <c:pt idx="1">
                  <c:v>Cryo costs</c:v>
                </c:pt>
              </c:strCache>
            </c:strRef>
          </c:cat>
          <c:val>
            <c:numRef>
              <c:f>(ChartData!$H$36,ChartData!$H$38)</c:f>
              <c:numCache>
                <c:formatCode>"$"#,##0</c:formatCode>
                <c:ptCount val="2"/>
                <c:pt idx="0">
                  <c:v>4951</c:v>
                </c:pt>
                <c:pt idx="1">
                  <c:v>1600</c:v>
                </c:pt>
              </c:numCache>
            </c:numRef>
          </c:val>
        </c:ser>
        <c:ser>
          <c:idx val="6"/>
          <c:order val="3"/>
          <c:tx>
            <c:strRef>
              <c:f>ChartData!$I$35</c:f>
              <c:strCache>
                <c:ptCount val="1"/>
                <c:pt idx="0">
                  <c:v>Savings</c:v>
                </c:pt>
              </c:strCache>
            </c:strRef>
          </c:tx>
          <c:spPr>
            <a:noFill/>
            <a:ln w="6350">
              <a:solidFill>
                <a:srgbClr val="00B050"/>
              </a:solidFill>
            </a:ln>
          </c:spPr>
          <c:invertIfNegative val="0"/>
          <c:dLbls>
            <c:delete val="1"/>
          </c:dLbls>
          <c:cat>
            <c:strRef>
              <c:f>(ChartData!$B$36,ChartData!$B$38)</c:f>
              <c:strCache>
                <c:ptCount val="2"/>
                <c:pt idx="0">
                  <c:v>Live colony costs</c:v>
                </c:pt>
                <c:pt idx="1">
                  <c:v>Cryo costs</c:v>
                </c:pt>
              </c:strCache>
            </c:strRef>
          </c:cat>
          <c:val>
            <c:numRef>
              <c:f>(ChartData!$I$36,ChartData!$I$38)</c:f>
              <c:numCache>
                <c:formatCode>"$"#,##0</c:formatCode>
                <c:ptCount val="2"/>
                <c:pt idx="1">
                  <c:v>9828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223744"/>
        <c:axId val="112225280"/>
      </c:barChart>
      <c:catAx>
        <c:axId val="1122237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12225280"/>
        <c:crosses val="autoZero"/>
        <c:auto val="1"/>
        <c:lblAlgn val="ctr"/>
        <c:lblOffset val="100"/>
        <c:noMultiLvlLbl val="0"/>
      </c:catAx>
      <c:valAx>
        <c:axId val="11222528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222374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Cost Comparison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1"/>
          <c:order val="0"/>
          <c:tx>
            <c:strRef>
              <c:f>ChartData!$B$39</c:f>
              <c:strCache>
                <c:ptCount val="1"/>
                <c:pt idx="0">
                  <c:v>Cryo costs</c:v>
                </c:pt>
              </c:strCache>
            </c:strRef>
          </c:tx>
          <c:spPr>
            <a:solidFill>
              <a:schemeClr val="accent3">
                <a:alpha val="80000"/>
              </a:schemeClr>
            </a:solidFill>
            <a:ln w="25400">
              <a:noFill/>
            </a:ln>
          </c:spPr>
          <c:cat>
            <c:strRef>
              <c:f>ChartData!$F$35:$H$35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ChartData!$F$39:$H$39</c:f>
              <c:numCache>
                <c:formatCode>"$"#,##0</c:formatCode>
                <c:ptCount val="3"/>
                <c:pt idx="0">
                  <c:v>1825</c:v>
                </c:pt>
                <c:pt idx="1">
                  <c:v>3425</c:v>
                </c:pt>
                <c:pt idx="2">
                  <c:v>5025</c:v>
                </c:pt>
              </c:numCache>
            </c:numRef>
          </c:val>
        </c:ser>
        <c:ser>
          <c:idx val="0"/>
          <c:order val="1"/>
          <c:tx>
            <c:strRef>
              <c:f>ChartData!$B$37</c:f>
              <c:strCache>
                <c:ptCount val="1"/>
                <c:pt idx="0">
                  <c:v>Live colony costs</c:v>
                </c:pt>
              </c:strCache>
            </c:strRef>
          </c:tx>
          <c:cat>
            <c:strRef>
              <c:f>ChartData!$F$35:$H$35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ChartData!$F$37:$H$37</c:f>
              <c:numCache>
                <c:formatCode>"$"#,##0</c:formatCode>
                <c:ptCount val="3"/>
                <c:pt idx="0">
                  <c:v>4951</c:v>
                </c:pt>
                <c:pt idx="1">
                  <c:v>9902</c:v>
                </c:pt>
                <c:pt idx="2">
                  <c:v>14853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5968"/>
        <c:axId val="112357760"/>
        <c:axId val="101297664"/>
      </c:area3DChart>
      <c:catAx>
        <c:axId val="1123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57760"/>
        <c:crosses val="autoZero"/>
        <c:auto val="1"/>
        <c:lblAlgn val="ctr"/>
        <c:lblOffset val="100"/>
        <c:noMultiLvlLbl val="0"/>
      </c:catAx>
      <c:valAx>
        <c:axId val="11235776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12355968"/>
        <c:crosses val="autoZero"/>
        <c:crossBetween val="midCat"/>
      </c:valAx>
      <c:serAx>
        <c:axId val="1012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57760"/>
        <c:crosses val="autoZero"/>
      </c:ser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769621</xdr:colOff>
      <xdr:row>3</xdr:row>
      <xdr:rowOff>85897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638300" cy="665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1005840</xdr:colOff>
      <xdr:row>3</xdr:row>
      <xdr:rowOff>85896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300" cy="6650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50</xdr:row>
      <xdr:rowOff>95251</xdr:rowOff>
    </xdr:from>
    <xdr:to>
      <xdr:col>7</xdr:col>
      <xdr:colOff>361950</xdr:colOff>
      <xdr:row>73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</xdr:row>
      <xdr:rowOff>38100</xdr:rowOff>
    </xdr:from>
    <xdr:to>
      <xdr:col>7</xdr:col>
      <xdr:colOff>381000</xdr:colOff>
      <xdr:row>26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27</xdr:row>
      <xdr:rowOff>90486</xdr:rowOff>
    </xdr:from>
    <xdr:to>
      <xdr:col>7</xdr:col>
      <xdr:colOff>371475</xdr:colOff>
      <xdr:row>50</xdr:row>
      <xdr:rowOff>23811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3</xdr:row>
      <xdr:rowOff>85896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300" cy="665016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0.05424</cdr:x>
      <cdr:y>0.82961</cdr:y>
    </cdr:from>
    <cdr:to>
      <cdr:x>0.94068</cdr:x>
      <cdr:y>0.95531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4800" y="2828925"/>
          <a:ext cx="49815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0.06949</cdr:x>
      <cdr:y>0.80447</cdr:y>
    </cdr:from>
    <cdr:to>
      <cdr:x>0.95763</cdr:x>
      <cdr:y>0.94413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90525" y="2743200"/>
          <a:ext cx="49911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0.05424</cdr:x>
      <cdr:y>0.82961</cdr:y>
    </cdr:from>
    <cdr:to>
      <cdr:x>0.94068</cdr:x>
      <cdr:y>0.95531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04800" y="2828925"/>
          <a:ext cx="49815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0.06949</cdr:x>
      <cdr:y>0.80447</cdr:y>
    </cdr:from>
    <cdr:to>
      <cdr:x>0.95763</cdr:x>
      <cdr:y>0.94413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390525" y="2743200"/>
          <a:ext cx="49911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0.03941</cdr:x>
      <cdr:y>0.78323</cdr:y>
    </cdr:from>
    <cdr:to>
      <cdr:x>0.90259</cdr:x>
      <cdr:y>0.88344</cdr:y>
    </cdr:to>
    <cdr:sp macro="" textlink="cht_svg">
      <cdr:nvSpPr>
        <cdr:cNvPr id="8" name="TextBox 2"/>
        <cdr:cNvSpPr txBox="1"/>
      </cdr:nvSpPr>
      <cdr:spPr>
        <a:xfrm xmlns:a="http://schemas.openxmlformats.org/drawingml/2006/main">
          <a:off x="222250" y="3498850"/>
          <a:ext cx="4867275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B61D937-4D06-4D03-97C9-7733046778B1}" type="TxLink">
            <a:rPr lang="en-US" sz="1200" b="1"/>
            <a:pPr algn="ctr"/>
            <a:t>Cumulative 3 Year Savings: $9,828</a:t>
          </a:fld>
          <a:endParaRPr lang="en-US" sz="12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0.05424</cdr:x>
      <cdr:y>0.82961</cdr:y>
    </cdr:from>
    <cdr:to>
      <cdr:x>0.94068</cdr:x>
      <cdr:y>0.95531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4800" y="2828925"/>
          <a:ext cx="49815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0.06949</cdr:x>
      <cdr:y>0.80447</cdr:y>
    </cdr:from>
    <cdr:to>
      <cdr:x>0.95763</cdr:x>
      <cdr:y>0.94413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90525" y="2743200"/>
          <a:ext cx="49911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0.05424</cdr:x>
      <cdr:y>0.82961</cdr:y>
    </cdr:from>
    <cdr:to>
      <cdr:x>0.94068</cdr:x>
      <cdr:y>0.95531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04800" y="2828925"/>
          <a:ext cx="49815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0.06949</cdr:x>
      <cdr:y>0.80447</cdr:y>
    </cdr:from>
    <cdr:to>
      <cdr:x>0.95763</cdr:x>
      <cdr:y>0.94413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390525" y="2743200"/>
          <a:ext cx="49911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0.10311</cdr:x>
      <cdr:y>0.7942</cdr:y>
    </cdr:from>
    <cdr:to>
      <cdr:x>0.81323</cdr:x>
      <cdr:y>0.85217</cdr:y>
    </cdr:to>
    <cdr:sp macro="" textlink="cht_svg_pct_box">
      <cdr:nvSpPr>
        <cdr:cNvPr id="8" name="TextBox 2"/>
        <cdr:cNvSpPr txBox="1"/>
      </cdr:nvSpPr>
      <cdr:spPr>
        <a:xfrm xmlns:a="http://schemas.openxmlformats.org/drawingml/2006/main">
          <a:off x="504826" y="3479800"/>
          <a:ext cx="3476623" cy="2539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A7F3D2B-2BB9-41EA-9060-D08C42580816}" type="TxLink">
            <a:rPr lang="en-US" sz="1200" b="1"/>
            <a:pPr algn="ctr"/>
            <a:t>Cumulative 3 Year Savings: $9,828 (66%)</a:t>
          </a:fld>
          <a:endParaRPr lang="en-US" sz="1200" b="1"/>
        </a:p>
      </cdr:txBody>
    </cdr:sp>
  </cdr:relSizeAnchor>
  <cdr:relSizeAnchor xmlns:cdr="http://schemas.openxmlformats.org/drawingml/2006/chartDrawing">
    <cdr:from>
      <cdr:x>0.10182</cdr:x>
      <cdr:y>0.85942</cdr:y>
    </cdr:from>
    <cdr:to>
      <cdr:x>0.81193</cdr:x>
      <cdr:y>0.91739</cdr:y>
    </cdr:to>
    <cdr:sp macro="" textlink="cht_cryo_pct">
      <cdr:nvSpPr>
        <cdr:cNvPr id="9" name="TextBox 2"/>
        <cdr:cNvSpPr txBox="1"/>
      </cdr:nvSpPr>
      <cdr:spPr>
        <a:xfrm xmlns:a="http://schemas.openxmlformats.org/drawingml/2006/main">
          <a:off x="498475" y="3765550"/>
          <a:ext cx="3476623" cy="2539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61616F1-80A4-4387-9D2F-F60D9443CEAB}" type="TxLink">
            <a:rPr lang="en-US" sz="1200" b="1"/>
            <a:pPr algn="ctr"/>
            <a:t>Cryo is 34% of live colony costs</a:t>
          </a:fld>
          <a:endParaRPr lang="en-US" sz="12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731520</xdr:colOff>
      <xdr:row>3</xdr:row>
      <xdr:rowOff>24936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300" cy="6650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3</xdr:row>
      <xdr:rowOff>85896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300" cy="6650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19</xdr:row>
      <xdr:rowOff>133350</xdr:rowOff>
    </xdr:from>
    <xdr:to>
      <xdr:col>10</xdr:col>
      <xdr:colOff>152400</xdr:colOff>
      <xdr:row>44</xdr:row>
      <xdr:rowOff>38361</xdr:rowOff>
    </xdr:to>
    <xdr:pic>
      <xdr:nvPicPr>
        <xdr:cNvPr id="2" name="Picture 1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6" y="3429000"/>
          <a:ext cx="3800474" cy="3953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bl_gt_who" displayName="tbl_gt_who" ref="B86:B88" totalsRowShown="0">
  <autoFilter ref="B86:B88"/>
  <tableColumns count="1">
    <tableColumn id="1" name="Option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bl_yn" displayName="tbl_yn" ref="B92:B94" totalsRowShown="0">
  <autoFilter ref="B92:B94"/>
  <tableColumns count="1">
    <tableColumn id="1" name="Answ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bl_ref" displayName="tbl_ref" ref="B58:F79" totalsRowShown="0">
  <autoFilter ref="B58:F79"/>
  <tableColumns count="5">
    <tableColumn id="1" name="Q"/>
    <tableColumn id="2" name="Question"/>
    <tableColumn id="3" name="Notes"/>
    <tableColumn id="4" name="Default"/>
    <tableColumn id="5" name="Referen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bl_l_rate" displayName="tbl_l_rate" ref="B98:B100" totalsRowShown="0">
  <autoFilter ref="B98:B100"/>
  <tableColumns count="1">
    <tableColumn id="1" name="Rat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bl_cryo_options" displayName="tbl_cryo_options" ref="B115:F118" totalsRowShown="0">
  <autoFilter ref="B115:F118"/>
  <tableColumns count="5">
    <tableColumn id="1" name="Option"/>
    <tableColumn id="2" name="Allow User Selection"/>
    <tableColumn id="3" name="Years of storage included"/>
    <tableColumn id="4" name="Discount" dataDxfId="6"/>
    <tableColumn id="5" name="UI" dataDxfId="5">
      <calculatedColumnFormula>IF(tbl_cryo_options[[#This Row],[Allow User Selection]],tbl_cryo_options[[#This Row],[Option]],"")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bl_donor" displayName="tbl_donor" ref="B31:H45" totalsRowShown="0">
  <autoFilter ref="B31:H45"/>
  <tableColumns count="7">
    <tableColumn id="1" name="Oocyte Donor"/>
    <tableColumn id="2" name="StockNum" dataDxfId="4"/>
    <tableColumn id="3" name="Price" dataDxfId="3"/>
    <tableColumn id="4" name="QCRequired"/>
    <tableColumn id="5" name="SpeedRederivation" dataDxfId="2"/>
    <tableColumn id="6" name="Recovery" dataDxfId="1"/>
    <tableColumn id="7" name="QC Recovery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bl_num_breeders" displayName="tbl_num_breeders" ref="B103:B105" totalsRowShown="0">
  <autoFilter ref="B103:B105"/>
  <tableColumns count="1">
    <tableColumn id="1" name="Numb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lickconsulting.com/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showGridLines="0" showRowColHeaders="0" tabSelected="1" zoomScaleNormal="100" workbookViewId="0">
      <selection activeCell="I6" sqref="I6"/>
    </sheetView>
  </sheetViews>
  <sheetFormatPr defaultRowHeight="13.2" x14ac:dyDescent="0.25"/>
  <cols>
    <col min="1" max="6" width="12.6640625" customWidth="1"/>
  </cols>
  <sheetData>
    <row r="1" spans="1:6" ht="17.399999999999999" x14ac:dyDescent="0.3">
      <c r="F1" s="45" t="s">
        <v>131</v>
      </c>
    </row>
    <row r="2" spans="1:6" ht="15" x14ac:dyDescent="0.25">
      <c r="F2" s="46" t="str">
        <f>co_name</f>
        <v>JAX® Mice and Services</v>
      </c>
    </row>
    <row r="6" spans="1:6" x14ac:dyDescent="0.25">
      <c r="A6" s="1" t="s">
        <v>1</v>
      </c>
      <c r="B6" s="100" t="s">
        <v>182</v>
      </c>
      <c r="C6" s="101"/>
      <c r="D6" s="101"/>
      <c r="E6" s="101"/>
      <c r="F6" s="101"/>
    </row>
    <row r="7" spans="1:6" x14ac:dyDescent="0.25">
      <c r="B7" s="100"/>
      <c r="C7" s="101"/>
      <c r="D7" s="101"/>
      <c r="E7" s="101"/>
      <c r="F7" s="101"/>
    </row>
    <row r="8" spans="1:6" x14ac:dyDescent="0.25">
      <c r="A8" s="1"/>
    </row>
    <row r="9" spans="1:6" x14ac:dyDescent="0.25">
      <c r="A9" s="1" t="s">
        <v>183</v>
      </c>
    </row>
    <row r="10" spans="1:6" x14ac:dyDescent="0.25">
      <c r="B10" s="100" t="s">
        <v>261</v>
      </c>
      <c r="C10" s="101"/>
      <c r="D10" s="101"/>
      <c r="E10" s="101"/>
      <c r="F10" s="101"/>
    </row>
    <row r="11" spans="1:6" x14ac:dyDescent="0.25">
      <c r="B11" s="100"/>
      <c r="C11" s="101"/>
      <c r="D11" s="101"/>
      <c r="E11" s="101"/>
      <c r="F11" s="101"/>
    </row>
    <row r="12" spans="1:6" x14ac:dyDescent="0.25">
      <c r="B12" s="49"/>
      <c r="C12" s="49"/>
      <c r="D12" s="49"/>
      <c r="E12" s="49"/>
      <c r="F12" s="49"/>
    </row>
    <row r="13" spans="1:6" ht="13.8" x14ac:dyDescent="0.25">
      <c r="B13" s="48"/>
      <c r="C13" s="50" t="s">
        <v>189</v>
      </c>
      <c r="D13" s="50" t="s">
        <v>190</v>
      </c>
      <c r="E13" s="50"/>
      <c r="F13" s="51"/>
    </row>
    <row r="14" spans="1:6" x14ac:dyDescent="0.25">
      <c r="C14" s="16" t="s">
        <v>236</v>
      </c>
      <c r="D14" t="s">
        <v>191</v>
      </c>
    </row>
    <row r="15" spans="1:6" x14ac:dyDescent="0.25">
      <c r="C15" s="16" t="s">
        <v>184</v>
      </c>
      <c r="D15" t="s">
        <v>186</v>
      </c>
    </row>
    <row r="16" spans="1:6" x14ac:dyDescent="0.25">
      <c r="C16" s="16" t="s">
        <v>185</v>
      </c>
      <c r="D16" t="s">
        <v>187</v>
      </c>
    </row>
    <row r="17" spans="3:4" x14ac:dyDescent="0.25">
      <c r="C17" s="16" t="s">
        <v>2</v>
      </c>
      <c r="D17" t="s">
        <v>188</v>
      </c>
    </row>
  </sheetData>
  <mergeCells count="2">
    <mergeCell ref="B6:F7"/>
    <mergeCell ref="B10:F11"/>
  </mergeCells>
  <hyperlinks>
    <hyperlink ref="C14" location="Inputs!A1" display="Inputs"/>
    <hyperlink ref="C15" location="Chart!A1" display="Chart"/>
    <hyperlink ref="C16" location="Tables!A1" display="Tables"/>
    <hyperlink ref="C17" location="Reference!A1" display="Reference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G6" sqref="G6"/>
    </sheetView>
  </sheetViews>
  <sheetFormatPr defaultRowHeight="13.2" x14ac:dyDescent="0.25"/>
  <cols>
    <col min="1" max="1" width="4.109375" customWidth="1"/>
    <col min="2" max="2" width="5.109375" customWidth="1"/>
    <col min="3" max="3" width="57.44140625" customWidth="1"/>
    <col min="4" max="6" width="13.88671875" customWidth="1"/>
  </cols>
  <sheetData>
    <row r="1" spans="1:7" ht="17.399999999999999" x14ac:dyDescent="0.3">
      <c r="F1" s="45" t="s">
        <v>236</v>
      </c>
    </row>
    <row r="2" spans="1:7" ht="15" x14ac:dyDescent="0.25">
      <c r="F2" s="46" t="str">
        <f>co_name</f>
        <v>JAX® Mice and Services</v>
      </c>
    </row>
    <row r="5" spans="1:7" x14ac:dyDescent="0.25">
      <c r="A5" s="1"/>
    </row>
    <row r="6" spans="1:7" ht="18" thickBot="1" x14ac:dyDescent="0.35">
      <c r="A6" s="1"/>
      <c r="B6" s="102" t="s">
        <v>132</v>
      </c>
      <c r="C6" s="102"/>
      <c r="D6" s="102"/>
      <c r="E6" s="102"/>
      <c r="F6" s="102"/>
    </row>
    <row r="7" spans="1:7" ht="17.399999999999999" x14ac:dyDescent="0.3">
      <c r="A7" s="1"/>
      <c r="B7" s="44"/>
      <c r="C7" s="15"/>
      <c r="D7" s="15"/>
      <c r="E7" s="15"/>
      <c r="F7" s="15"/>
    </row>
    <row r="8" spans="1:7" x14ac:dyDescent="0.25">
      <c r="B8" s="5" t="s">
        <v>7</v>
      </c>
      <c r="C8" s="5" t="s">
        <v>11</v>
      </c>
      <c r="D8" s="5" t="s">
        <v>8</v>
      </c>
      <c r="E8" s="5" t="s">
        <v>9</v>
      </c>
      <c r="F8" s="5" t="s">
        <v>10</v>
      </c>
      <c r="G8" s="24"/>
    </row>
    <row r="9" spans="1:7" ht="13.8" x14ac:dyDescent="0.25">
      <c r="B9" s="10" t="s">
        <v>36</v>
      </c>
      <c r="C9" s="11"/>
      <c r="D9" s="11"/>
      <c r="E9" s="11"/>
      <c r="F9" s="11"/>
    </row>
    <row r="10" spans="1:7" x14ac:dyDescent="0.25">
      <c r="B10" s="95" t="s">
        <v>209</v>
      </c>
      <c r="C10" t="str">
        <f>VLOOKUP($B10,tbl_ref[],MATCH(C$8,tbl_ref[#Headers],0),0)</f>
        <v>Number of cages (shoe box pens) used for the strain</v>
      </c>
      <c r="D10" s="82">
        <f>VLOOKUP($B10,tbl_ref[],MATCH(D$8,tbl_ref[#Headers],0),0)</f>
        <v>6</v>
      </c>
      <c r="E10" s="89"/>
      <c r="F10">
        <f>IF(ISBLANK(E10),D10,E10)</f>
        <v>6</v>
      </c>
      <c r="G10" s="16"/>
    </row>
    <row r="11" spans="1:7" x14ac:dyDescent="0.25">
      <c r="B11" s="95" t="s">
        <v>203</v>
      </c>
      <c r="C11" t="str">
        <f>VLOOKUP($B11,tbl_ref[],MATCH(C$8,tbl_ref[#Headers],0),0)</f>
        <v>Per cage per diem rate</v>
      </c>
      <c r="D11" s="83">
        <f>VLOOKUP($B11,tbl_ref[],MATCH(D$8,tbl_ref[#Headers],0),0)</f>
        <v>1.5</v>
      </c>
      <c r="E11" s="90"/>
      <c r="F11" s="6">
        <f>IF(ISBLANK(E11),D11,E11)</f>
        <v>1.5</v>
      </c>
    </row>
    <row r="12" spans="1:7" x14ac:dyDescent="0.25">
      <c r="B12" s="18"/>
      <c r="D12" s="83"/>
      <c r="F12" s="6"/>
    </row>
    <row r="13" spans="1:7" ht="13.8" x14ac:dyDescent="0.25">
      <c r="B13" s="10" t="s">
        <v>37</v>
      </c>
      <c r="C13" s="12"/>
      <c r="D13" s="84"/>
      <c r="E13" s="13"/>
      <c r="F13" s="13"/>
    </row>
    <row r="14" spans="1:7" x14ac:dyDescent="0.25">
      <c r="B14" s="95" t="s">
        <v>204</v>
      </c>
      <c r="C14" t="str">
        <f>VLOOKUP($B14,tbl_ref[],MATCH(C$8,tbl_ref[#Headers],0),0)</f>
        <v>Hours per week spent maintaining the line</v>
      </c>
      <c r="D14" s="85">
        <f>VLOOKUP($B14,tbl_ref[],MATCH(D$8,tbl_ref[#Headers],0),0)</f>
        <v>1</v>
      </c>
      <c r="E14" s="91"/>
      <c r="F14" s="7">
        <f>IF(ISBLANK(E14),D14,E14)</f>
        <v>1</v>
      </c>
    </row>
    <row r="15" spans="1:7" x14ac:dyDescent="0.25">
      <c r="B15" s="95" t="s">
        <v>205</v>
      </c>
      <c r="C15" t="str">
        <f>VLOOKUP($B15,tbl_ref[],MATCH(C$8,tbl_ref[#Headers],0),0)</f>
        <v>Labor costs expressed as hourly rate or annual salary</v>
      </c>
      <c r="D15" s="85" t="str">
        <f>VLOOKUP($B15,tbl_ref[],MATCH(D$8,tbl_ref[#Headers],0),0)</f>
        <v>Hourly</v>
      </c>
      <c r="E15" s="91" t="s">
        <v>79</v>
      </c>
      <c r="F15" s="9" t="str">
        <f>IF(ISBLANK(E15),D15,E15)</f>
        <v>Hourly</v>
      </c>
    </row>
    <row r="16" spans="1:7" x14ac:dyDescent="0.25">
      <c r="B16" s="95" t="s">
        <v>206</v>
      </c>
      <c r="C16" s="25" t="str">
        <f>VLOOKUP($B16,tbl_ref[],MATCH(C$8,tbl_ref[#Headers],0),0)</f>
        <v>Average annual salary of staff</v>
      </c>
      <c r="D16" s="86">
        <f>VLOOKUP($B16,tbl_ref[],MATCH(D$8,tbl_ref[#Headers],0),0)</f>
        <v>24000</v>
      </c>
      <c r="E16" s="92"/>
      <c r="F16" s="19">
        <f t="shared" ref="F16:F25" si="0">IF(ISBLANK(E16),D16,E16)</f>
        <v>24000</v>
      </c>
    </row>
    <row r="17" spans="2:6" x14ac:dyDescent="0.25">
      <c r="B17" s="95" t="s">
        <v>207</v>
      </c>
      <c r="C17" s="25" t="str">
        <f>VLOOKUP($B17,tbl_ref[],MATCH(C$8,tbl_ref[#Headers],0),0)</f>
        <v>Average hourly rate of staff</v>
      </c>
      <c r="D17" s="83">
        <f>VLOOKUP($B17,tbl_ref[],MATCH(D$8,tbl_ref[#Headers],0),0)</f>
        <v>10</v>
      </c>
      <c r="E17" s="90"/>
      <c r="F17" s="6">
        <f t="shared" si="0"/>
        <v>10</v>
      </c>
    </row>
    <row r="18" spans="2:6" x14ac:dyDescent="0.25">
      <c r="B18" s="95" t="s">
        <v>208</v>
      </c>
      <c r="C18" s="26" t="str">
        <f>VLOOKUP($B18,tbl_ref[],MATCH(C$8,tbl_ref[#Headers],0),0)</f>
        <v>Benefit rate as a percent of pay</v>
      </c>
      <c r="D18" s="87">
        <f>VLOOKUP($B18,tbl_ref[],MATCH(D$8,tbl_ref[#Headers],0),0)</f>
        <v>0.3</v>
      </c>
      <c r="E18" s="93"/>
      <c r="F18" s="8">
        <f t="shared" si="0"/>
        <v>0.3</v>
      </c>
    </row>
    <row r="19" spans="2:6" x14ac:dyDescent="0.25">
      <c r="B19" s="17"/>
      <c r="C19" s="26"/>
      <c r="D19" s="87"/>
      <c r="F19" s="8"/>
    </row>
    <row r="20" spans="2:6" ht="13.8" x14ac:dyDescent="0.25">
      <c r="B20" s="10" t="s">
        <v>38</v>
      </c>
      <c r="C20" s="12"/>
      <c r="D20" s="88"/>
      <c r="E20" s="12"/>
      <c r="F20" s="14"/>
    </row>
    <row r="21" spans="2:6" x14ac:dyDescent="0.25">
      <c r="B21" s="95" t="s">
        <v>210</v>
      </c>
      <c r="C21" t="str">
        <f>VLOOKUP($B21,tbl_ref[],MATCH(C$8,tbl_ref[#Headers],0),0)</f>
        <v>Does your strain requires genotyping?</v>
      </c>
      <c r="D21" s="85" t="b">
        <f>VLOOKUP($B21,tbl_ref[],MATCH(D$8,tbl_ref[#Headers],0),0)</f>
        <v>1</v>
      </c>
      <c r="E21" s="91" t="b">
        <v>1</v>
      </c>
      <c r="F21" s="9" t="b">
        <f t="shared" si="0"/>
        <v>1</v>
      </c>
    </row>
    <row r="22" spans="2:6" x14ac:dyDescent="0.25">
      <c r="B22" s="95" t="s">
        <v>211</v>
      </c>
      <c r="C22" s="25" t="str">
        <f>VLOOKUP($B22,tbl_ref[],MATCH(C$8,tbl_ref[#Headers],0),0)</f>
        <v>Who performs genotyping?</v>
      </c>
      <c r="D22" s="85" t="str">
        <f>VLOOKUP($B22,tbl_ref[],MATCH(D$8,tbl_ref[#Headers],0),0)</f>
        <v>Outside Svc</v>
      </c>
      <c r="E22" s="91" t="s">
        <v>31</v>
      </c>
      <c r="F22" s="9" t="str">
        <f t="shared" si="0"/>
        <v>Outside Svc</v>
      </c>
    </row>
    <row r="23" spans="2:6" x14ac:dyDescent="0.25">
      <c r="B23" s="95" t="s">
        <v>212</v>
      </c>
      <c r="C23" s="26" t="str">
        <f>VLOOKUP($B23,tbl_ref[],MATCH(C$8,tbl_ref[#Headers],0),0)</f>
        <v>Number of samples per month</v>
      </c>
      <c r="D23" s="85">
        <f>VLOOKUP($B23,tbl_ref[],MATCH(D$8,tbl_ref[#Headers],0),0)</f>
        <v>5</v>
      </c>
      <c r="E23" s="91"/>
      <c r="F23" s="9">
        <f t="shared" si="0"/>
        <v>5</v>
      </c>
    </row>
    <row r="24" spans="2:6" x14ac:dyDescent="0.25">
      <c r="B24" s="95" t="s">
        <v>213</v>
      </c>
      <c r="C24" s="26" t="str">
        <f>VLOOKUP($B24,tbl_ref[],MATCH(C$8,tbl_ref[#Headers],0),0)</f>
        <v>Price per sample</v>
      </c>
      <c r="D24" s="83">
        <f>VLOOKUP($B24,tbl_ref[],MATCH(D$8,tbl_ref[#Headers],0),0)</f>
        <v>16.5</v>
      </c>
      <c r="E24" s="90"/>
      <c r="F24" s="20">
        <f t="shared" si="0"/>
        <v>16.5</v>
      </c>
    </row>
    <row r="25" spans="2:6" x14ac:dyDescent="0.25">
      <c r="B25" s="95" t="s">
        <v>214</v>
      </c>
      <c r="C25" s="26" t="str">
        <f>VLOOKUP($B25,tbl_ref[],MATCH(C$8,tbl_ref[#Headers],0),0)</f>
        <v>Staff hours per month</v>
      </c>
      <c r="D25" s="85">
        <f>VLOOKUP($B25,tbl_ref[],MATCH(D$8,tbl_ref[#Headers],0),0)</f>
        <v>2</v>
      </c>
      <c r="E25" s="91"/>
      <c r="F25" s="9">
        <f t="shared" si="0"/>
        <v>2</v>
      </c>
    </row>
    <row r="26" spans="2:6" x14ac:dyDescent="0.25">
      <c r="B26" s="52"/>
    </row>
    <row r="27" spans="2:6" ht="18" thickBot="1" x14ac:dyDescent="0.35">
      <c r="B27" s="102" t="s">
        <v>245</v>
      </c>
      <c r="C27" s="102"/>
      <c r="D27" s="102"/>
      <c r="E27" s="102"/>
      <c r="F27" s="102"/>
    </row>
    <row r="28" spans="2:6" x14ac:dyDescent="0.25">
      <c r="B28" s="18"/>
      <c r="D28" s="21"/>
    </row>
    <row r="29" spans="2:6" ht="13.8" x14ac:dyDescent="0.25">
      <c r="B29" s="10" t="s">
        <v>47</v>
      </c>
      <c r="C29" s="12"/>
      <c r="D29" s="22"/>
      <c r="E29" s="12"/>
      <c r="F29" s="12"/>
    </row>
    <row r="30" spans="2:6" x14ac:dyDescent="0.25">
      <c r="B30" s="95" t="s">
        <v>215</v>
      </c>
      <c r="C30" t="str">
        <f>VLOOKUP($B30,tbl_ref[],MATCH(C$8,tbl_ref[#Headers],0),0)</f>
        <v>Sperm Cryo delivery options</v>
      </c>
      <c r="D30" s="85" t="str">
        <f>VLOOKUP($B30,tbl_ref[],MATCH(D$8,tbl_ref[#Headers],0),0)</f>
        <v>Standard</v>
      </c>
      <c r="E30" s="94" t="s">
        <v>243</v>
      </c>
      <c r="F30" s="81" t="str">
        <f>IF(OR(ISBLANK(E30),E30=""),D30,E30)</f>
        <v>Standard</v>
      </c>
    </row>
    <row r="31" spans="2:6" x14ac:dyDescent="0.25">
      <c r="B31" s="95" t="s">
        <v>216</v>
      </c>
      <c r="C31" t="str">
        <f>VLOOKUP($B31,tbl_ref[],MATCH(C$8,tbl_ref[#Headers],0),0)</f>
        <v>Oocyte donor strain</v>
      </c>
      <c r="D31" s="85" t="str">
        <f>VLOOKUP($B31,tbl_ref[],MATCH(D$8,tbl_ref[#Headers],0),0)</f>
        <v>C57BL/6J</v>
      </c>
      <c r="E31" s="99" t="s">
        <v>139</v>
      </c>
      <c r="F31" s="9" t="str">
        <f t="shared" ref="F31" si="1">IF(ISBLANK(E31),D31,E31)</f>
        <v>C57BL/6J</v>
      </c>
    </row>
    <row r="32" spans="2:6" x14ac:dyDescent="0.25">
      <c r="B32" s="95" t="s">
        <v>217</v>
      </c>
      <c r="C32" t="str">
        <f>VLOOKUP($B32,tbl_ref[],MATCH(C$8,tbl_ref[#Headers],0),0)</f>
        <v>Initial QC live born mice (Required for certain donors)</v>
      </c>
      <c r="D32" s="85" t="str">
        <f>VLOOKUP($B32,tbl_ref[],MATCH(D$8,tbl_ref[#Headers],0),0)</f>
        <v>No</v>
      </c>
      <c r="E32" s="89" t="s">
        <v>51</v>
      </c>
      <c r="F32" s="9" t="str">
        <f>IF(ISBLANK(E32),D32,IF(VLOOKUP(F31,tbl_donor[],4,0),"Yes",E32))</f>
        <v>No</v>
      </c>
    </row>
    <row r="33" spans="2:6" x14ac:dyDescent="0.25">
      <c r="D33" s="32"/>
    </row>
    <row r="34" spans="2:6" ht="13.8" x14ac:dyDescent="0.25">
      <c r="B34" s="12" t="s">
        <v>109</v>
      </c>
      <c r="C34" s="12"/>
      <c r="D34" s="10"/>
      <c r="E34" s="12"/>
      <c r="F34" s="12"/>
    </row>
    <row r="35" spans="2:6" x14ac:dyDescent="0.25">
      <c r="B35" s="95" t="s">
        <v>218</v>
      </c>
      <c r="C35" s="32" t="str">
        <f>VLOOKUP($B35,tbl_ref[],MATCH(C$8,tbl_ref[#Headers],0),0)</f>
        <v>Number of female breeders used per cage for this strain</v>
      </c>
      <c r="D35" s="85">
        <f>VLOOKUP($B35,tbl_ref[],MATCH(D$8,tbl_ref[#Headers],0),0)</f>
        <v>1</v>
      </c>
      <c r="E35" s="89">
        <v>1</v>
      </c>
      <c r="F35" s="9">
        <f t="shared" ref="F35:F36" si="2">IF(ISBLANK(E35),D35,E35)</f>
        <v>1</v>
      </c>
    </row>
    <row r="36" spans="2:6" x14ac:dyDescent="0.25">
      <c r="B36" s="95" t="s">
        <v>219</v>
      </c>
      <c r="C36" s="32" t="str">
        <f>VLOOKUP($B36,tbl_ref[],MATCH(C$8,tbl_ref[#Headers],0),0)</f>
        <v>Average litter size (max 10)</v>
      </c>
      <c r="D36" s="85">
        <f>VLOOKUP($B36,tbl_ref[],MATCH(D$8,tbl_ref[#Headers],0),0)</f>
        <v>6</v>
      </c>
      <c r="E36" s="89"/>
      <c r="F36" s="9">
        <f t="shared" si="2"/>
        <v>6</v>
      </c>
    </row>
    <row r="37" spans="2:6" x14ac:dyDescent="0.25">
      <c r="D37" s="32"/>
    </row>
    <row r="38" spans="2:6" ht="13.8" x14ac:dyDescent="0.25">
      <c r="B38" s="12" t="s">
        <v>130</v>
      </c>
      <c r="C38" s="12"/>
      <c r="D38" s="10"/>
      <c r="E38" s="12"/>
      <c r="F38" s="12"/>
    </row>
    <row r="39" spans="2:6" x14ac:dyDescent="0.25">
      <c r="B39" s="95" t="s">
        <v>220</v>
      </c>
      <c r="C39" s="32" t="str">
        <f>VLOOKUP($B39,tbl_ref[],MATCH(C$8,tbl_ref[#Headers],0),0)</f>
        <v>Years of storage included in above costs</v>
      </c>
      <c r="D39" s="32"/>
      <c r="E39" s="18">
        <f>VLOOKUP(cryo_option,tbl_cryo_options[],3,0)</f>
        <v>2</v>
      </c>
    </row>
    <row r="40" spans="2:6" x14ac:dyDescent="0.25">
      <c r="B40" s="95" t="s">
        <v>221</v>
      </c>
      <c r="C40" s="32" t="str">
        <f>VLOOKUP($B40,tbl_ref[],MATCH(C$8,tbl_ref[#Headers],0),0)</f>
        <v>Additional years of storage (max 5)</v>
      </c>
      <c r="D40" s="85">
        <f>VLOOKUP($B40,tbl_ref[],MATCH(D$8,tbl_ref[#Headers],0),0)</f>
        <v>1</v>
      </c>
      <c r="E40" s="94"/>
      <c r="F40" s="9">
        <f t="shared" ref="F40" si="3">IF(ISBLANK(E40),D40,E40)</f>
        <v>1</v>
      </c>
    </row>
    <row r="41" spans="2:6" x14ac:dyDescent="0.25">
      <c r="B41" s="95" t="s">
        <v>222</v>
      </c>
      <c r="C41" s="32" t="str">
        <f>VLOOKUP($B41,tbl_ref[],MATCH(C$8,tbl_ref[#Headers],0),0)</f>
        <v>Number of recovery procedures within the storage timeframe (max 3)</v>
      </c>
      <c r="D41" s="85">
        <f>VLOOKUP($B41,tbl_ref[],MATCH(D$8,tbl_ref[#Headers],0),0)</f>
        <v>2</v>
      </c>
      <c r="E41" s="89"/>
      <c r="F41" s="9">
        <f>IF(ISBLANK(E41),D41,E41)</f>
        <v>2</v>
      </c>
    </row>
  </sheetData>
  <sheetProtection selectLockedCells="1"/>
  <mergeCells count="2">
    <mergeCell ref="B6:F6"/>
    <mergeCell ref="B27:F27"/>
  </mergeCells>
  <conditionalFormatting sqref="C22:F25">
    <cfRule type="expression" dxfId="12" priority="6">
      <formula>$E$21=FALSE</formula>
    </cfRule>
  </conditionalFormatting>
  <conditionalFormatting sqref="C23:F24">
    <cfRule type="expression" dxfId="11" priority="8">
      <formula>$E$22="Internal Staff"</formula>
    </cfRule>
  </conditionalFormatting>
  <conditionalFormatting sqref="C25:F25">
    <cfRule type="expression" dxfId="10" priority="5">
      <formula>$E$22="Outside Svc"</formula>
    </cfRule>
  </conditionalFormatting>
  <conditionalFormatting sqref="C16:F16">
    <cfRule type="expression" dxfId="9" priority="4">
      <formula>$E$15="Hourly"</formula>
    </cfRule>
  </conditionalFormatting>
  <conditionalFormatting sqref="C17:F17">
    <cfRule type="expression" dxfId="8" priority="3">
      <formula>$E$15="Annual"</formula>
    </cfRule>
  </conditionalFormatting>
  <conditionalFormatting sqref="C32:F32">
    <cfRule type="expression" dxfId="7" priority="1">
      <formula>VLOOKUP(donor,donor_tbl,4,0)</formula>
    </cfRule>
  </conditionalFormatting>
  <dataValidations count="10">
    <dataValidation type="list" allowBlank="1" showInputMessage="1" showErrorMessage="1" sqref="E31">
      <formula1>dd_donor</formula1>
    </dataValidation>
    <dataValidation type="list" allowBlank="1" showInputMessage="1" showErrorMessage="1" sqref="E32">
      <formula1>dd_yn</formula1>
    </dataValidation>
    <dataValidation type="list" allowBlank="1" showInputMessage="1" showErrorMessage="1" sqref="E22">
      <formula1>dd_gt_who</formula1>
    </dataValidation>
    <dataValidation type="list" allowBlank="1" showInputMessage="1" showErrorMessage="1" sqref="E15">
      <formula1>dd_l_rate</formula1>
    </dataValidation>
    <dataValidation type="list" allowBlank="1" showInputMessage="1" showErrorMessage="1" sqref="E30">
      <formula1>dd_cryo_options</formula1>
    </dataValidation>
    <dataValidation type="list" allowBlank="1" showInputMessage="1" showErrorMessage="1" sqref="E35">
      <formula1>dd_num_breeders</formula1>
    </dataValidation>
    <dataValidation type="whole" allowBlank="1" showInputMessage="1" showErrorMessage="1" errorTitle="Max Years" error="The max number of years for this calculator is five." sqref="E40">
      <formula1>0</formula1>
      <formula2>5</formula2>
    </dataValidation>
    <dataValidation type="whole" allowBlank="1" showInputMessage="1" showErrorMessage="1" sqref="E36">
      <formula1>0</formula1>
      <formula2>10</formula2>
    </dataValidation>
    <dataValidation type="whole" allowBlank="1" showInputMessage="1" showErrorMessage="1" sqref="E41">
      <formula1>0</formula1>
      <formula2>3</formula2>
    </dataValidation>
    <dataValidation type="list" allowBlank="1" showInputMessage="1" showErrorMessage="1" sqref="E21">
      <formula1>"TRUE,FALSE"</formula1>
    </dataValidation>
  </dataValidations>
  <hyperlinks>
    <hyperlink ref="B10" location="help_1" display="help_1"/>
    <hyperlink ref="B11" location="help_2" display="help_2"/>
    <hyperlink ref="B14" location="help_3" display="help_3"/>
    <hyperlink ref="B16" location="help_5" display="help_5"/>
    <hyperlink ref="B17" location="help_6" display="help_6"/>
    <hyperlink ref="B18" location="help_7" display="help_7"/>
    <hyperlink ref="B21" location="help_8" display="help_8"/>
    <hyperlink ref="B22" location="help_9" display="help_9"/>
    <hyperlink ref="B23" location="help_10" display="help_10"/>
    <hyperlink ref="B24" location="help_11" display="help_11"/>
    <hyperlink ref="B25" location="help_12" display="help_12"/>
    <hyperlink ref="B31" location="help_14" display="help_14"/>
    <hyperlink ref="B32" location="help_15" display="help_15"/>
    <hyperlink ref="B41" location="help_16" display="help_16"/>
    <hyperlink ref="B15" location="help_4" display="help_4"/>
    <hyperlink ref="B35" location="help_17" display="help_17"/>
    <hyperlink ref="B36" location="help_18" display="help_18"/>
    <hyperlink ref="B30" location="help_13" display="help_13"/>
    <hyperlink ref="B39" location="help_19" display="help_19"/>
    <hyperlink ref="B40" location="help_20" display="help_20"/>
  </hyperlinks>
  <pageMargins left="0.7" right="0.7" top="0.75" bottom="0.75" header="0.3" footer="0.3"/>
  <pageSetup scale="8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I1:L69"/>
  <sheetViews>
    <sheetView showGridLines="0" showRowColHeaders="0" workbookViewId="0">
      <selection activeCell="N13" sqref="N13"/>
    </sheetView>
  </sheetViews>
  <sheetFormatPr defaultRowHeight="13.2" x14ac:dyDescent="0.25"/>
  <sheetData>
    <row r="1" spans="9:12" ht="17.399999999999999" x14ac:dyDescent="0.3">
      <c r="L1" s="45" t="s">
        <v>256</v>
      </c>
    </row>
    <row r="2" spans="9:12" ht="15" x14ac:dyDescent="0.25">
      <c r="L2" s="46" t="str">
        <f>co_name</f>
        <v>JAX® Mice and Services</v>
      </c>
    </row>
    <row r="6" spans="9:12" ht="13.8" x14ac:dyDescent="0.25">
      <c r="I6" s="12" t="s">
        <v>255</v>
      </c>
      <c r="J6" s="12"/>
      <c r="K6" s="12"/>
      <c r="L6" s="12"/>
    </row>
    <row r="7" spans="9:12" x14ac:dyDescent="0.25">
      <c r="I7" s="103" t="s">
        <v>257</v>
      </c>
      <c r="J7" s="103"/>
      <c r="K7" s="103"/>
      <c r="L7" s="103"/>
    </row>
    <row r="8" spans="9:12" x14ac:dyDescent="0.25">
      <c r="I8" s="103"/>
      <c r="J8" s="103"/>
      <c r="K8" s="103"/>
      <c r="L8" s="103"/>
    </row>
    <row r="9" spans="9:12" x14ac:dyDescent="0.25">
      <c r="I9" s="103"/>
      <c r="J9" s="103"/>
      <c r="K9" s="103"/>
      <c r="L9" s="103"/>
    </row>
    <row r="10" spans="9:12" x14ac:dyDescent="0.25">
      <c r="I10" s="103"/>
      <c r="J10" s="103"/>
      <c r="K10" s="103"/>
      <c r="L10" s="103"/>
    </row>
    <row r="11" spans="9:12" x14ac:dyDescent="0.25">
      <c r="I11" s="103"/>
      <c r="J11" s="103"/>
      <c r="K11" s="103"/>
      <c r="L11" s="103"/>
    </row>
    <row r="12" spans="9:12" x14ac:dyDescent="0.25">
      <c r="I12" s="103"/>
      <c r="J12" s="103"/>
      <c r="K12" s="103"/>
      <c r="L12" s="103"/>
    </row>
    <row r="13" spans="9:12" x14ac:dyDescent="0.25">
      <c r="I13" s="103"/>
      <c r="J13" s="103"/>
      <c r="K13" s="103"/>
      <c r="L13" s="103"/>
    </row>
    <row r="14" spans="9:12" x14ac:dyDescent="0.25">
      <c r="I14" s="103"/>
      <c r="J14" s="103"/>
      <c r="K14" s="103"/>
      <c r="L14" s="103"/>
    </row>
    <row r="15" spans="9:12" x14ac:dyDescent="0.25">
      <c r="I15" s="103"/>
      <c r="J15" s="103"/>
      <c r="K15" s="103"/>
      <c r="L15" s="103"/>
    </row>
    <row r="16" spans="9:12" x14ac:dyDescent="0.25">
      <c r="I16" s="103"/>
      <c r="J16" s="103"/>
      <c r="K16" s="103"/>
      <c r="L16" s="103"/>
    </row>
    <row r="17" spans="9:12" x14ac:dyDescent="0.25">
      <c r="I17" s="103"/>
      <c r="J17" s="103"/>
      <c r="K17" s="103"/>
      <c r="L17" s="103"/>
    </row>
    <row r="18" spans="9:12" x14ac:dyDescent="0.25">
      <c r="I18" s="103"/>
      <c r="J18" s="103"/>
      <c r="K18" s="103"/>
      <c r="L18" s="103"/>
    </row>
    <row r="19" spans="9:12" x14ac:dyDescent="0.25">
      <c r="I19" s="103"/>
      <c r="J19" s="103"/>
      <c r="K19" s="103"/>
      <c r="L19" s="103"/>
    </row>
    <row r="20" spans="9:12" x14ac:dyDescent="0.25">
      <c r="I20" s="103"/>
      <c r="J20" s="103"/>
      <c r="K20" s="103"/>
      <c r="L20" s="103"/>
    </row>
    <row r="21" spans="9:12" x14ac:dyDescent="0.25">
      <c r="I21" s="103"/>
      <c r="J21" s="103"/>
      <c r="K21" s="103"/>
      <c r="L21" s="103"/>
    </row>
    <row r="31" spans="9:12" ht="13.8" x14ac:dyDescent="0.25">
      <c r="I31" s="12" t="s">
        <v>223</v>
      </c>
      <c r="J31" s="12"/>
      <c r="K31" s="12"/>
      <c r="L31" s="12"/>
    </row>
    <row r="32" spans="9:12" x14ac:dyDescent="0.25">
      <c r="I32" s="103" t="s">
        <v>258</v>
      </c>
      <c r="J32" s="103"/>
      <c r="K32" s="103"/>
      <c r="L32" s="103"/>
    </row>
    <row r="33" spans="9:12" x14ac:dyDescent="0.25">
      <c r="I33" s="103"/>
      <c r="J33" s="103"/>
      <c r="K33" s="103"/>
      <c r="L33" s="103"/>
    </row>
    <row r="34" spans="9:12" x14ac:dyDescent="0.25">
      <c r="I34" s="103"/>
      <c r="J34" s="103"/>
      <c r="K34" s="103"/>
      <c r="L34" s="103"/>
    </row>
    <row r="35" spans="9:12" x14ac:dyDescent="0.25">
      <c r="I35" s="103"/>
      <c r="J35" s="103"/>
      <c r="K35" s="103"/>
      <c r="L35" s="103"/>
    </row>
    <row r="36" spans="9:12" x14ac:dyDescent="0.25">
      <c r="I36" s="103"/>
      <c r="J36" s="103"/>
      <c r="K36" s="103"/>
      <c r="L36" s="103"/>
    </row>
    <row r="37" spans="9:12" x14ac:dyDescent="0.25">
      <c r="I37" s="103"/>
      <c r="J37" s="103"/>
      <c r="K37" s="103"/>
      <c r="L37" s="103"/>
    </row>
    <row r="38" spans="9:12" x14ac:dyDescent="0.25">
      <c r="I38" s="103"/>
      <c r="J38" s="103"/>
      <c r="K38" s="103"/>
      <c r="L38" s="103"/>
    </row>
    <row r="39" spans="9:12" x14ac:dyDescent="0.25">
      <c r="I39" s="103"/>
      <c r="J39" s="103"/>
      <c r="K39" s="103"/>
      <c r="L39" s="103"/>
    </row>
    <row r="40" spans="9:12" x14ac:dyDescent="0.25">
      <c r="I40" s="103"/>
      <c r="J40" s="103"/>
      <c r="K40" s="103"/>
      <c r="L40" s="103"/>
    </row>
    <row r="41" spans="9:12" x14ac:dyDescent="0.25">
      <c r="I41" s="103"/>
      <c r="J41" s="103"/>
      <c r="K41" s="103"/>
      <c r="L41" s="103"/>
    </row>
    <row r="42" spans="9:12" x14ac:dyDescent="0.25">
      <c r="I42" s="103"/>
      <c r="J42" s="103"/>
      <c r="K42" s="103"/>
      <c r="L42" s="103"/>
    </row>
    <row r="43" spans="9:12" x14ac:dyDescent="0.25">
      <c r="I43" s="103"/>
      <c r="J43" s="103"/>
      <c r="K43" s="103"/>
      <c r="L43" s="103"/>
    </row>
    <row r="44" spans="9:12" x14ac:dyDescent="0.25">
      <c r="I44" s="103"/>
      <c r="J44" s="103"/>
      <c r="K44" s="103"/>
      <c r="L44" s="103"/>
    </row>
    <row r="45" spans="9:12" x14ac:dyDescent="0.25">
      <c r="I45" s="103"/>
      <c r="J45" s="103"/>
      <c r="K45" s="103"/>
      <c r="L45" s="103"/>
    </row>
    <row r="46" spans="9:12" x14ac:dyDescent="0.25">
      <c r="I46" s="103"/>
      <c r="J46" s="103"/>
      <c r="K46" s="103"/>
      <c r="L46" s="103"/>
    </row>
    <row r="54" spans="9:12" ht="13.8" x14ac:dyDescent="0.25">
      <c r="I54" s="12" t="s">
        <v>259</v>
      </c>
      <c r="J54" s="12"/>
      <c r="K54" s="12"/>
      <c r="L54" s="12"/>
    </row>
    <row r="55" spans="9:12" x14ac:dyDescent="0.25">
      <c r="I55" s="103" t="s">
        <v>260</v>
      </c>
      <c r="J55" s="103"/>
      <c r="K55" s="103"/>
      <c r="L55" s="103"/>
    </row>
    <row r="56" spans="9:12" x14ac:dyDescent="0.25">
      <c r="I56" s="103"/>
      <c r="J56" s="103"/>
      <c r="K56" s="103"/>
      <c r="L56" s="103"/>
    </row>
    <row r="57" spans="9:12" x14ac:dyDescent="0.25">
      <c r="I57" s="103"/>
      <c r="J57" s="103"/>
      <c r="K57" s="103"/>
      <c r="L57" s="103"/>
    </row>
    <row r="58" spans="9:12" x14ac:dyDescent="0.25">
      <c r="I58" s="103"/>
      <c r="J58" s="103"/>
      <c r="K58" s="103"/>
      <c r="L58" s="103"/>
    </row>
    <row r="59" spans="9:12" x14ac:dyDescent="0.25">
      <c r="I59" s="103"/>
      <c r="J59" s="103"/>
      <c r="K59" s="103"/>
      <c r="L59" s="103"/>
    </row>
    <row r="60" spans="9:12" x14ac:dyDescent="0.25">
      <c r="I60" s="103"/>
      <c r="J60" s="103"/>
      <c r="K60" s="103"/>
      <c r="L60" s="103"/>
    </row>
    <row r="61" spans="9:12" x14ac:dyDescent="0.25">
      <c r="I61" s="103"/>
      <c r="J61" s="103"/>
      <c r="K61" s="103"/>
      <c r="L61" s="103"/>
    </row>
    <row r="62" spans="9:12" x14ac:dyDescent="0.25">
      <c r="I62" s="103"/>
      <c r="J62" s="103"/>
      <c r="K62" s="103"/>
      <c r="L62" s="103"/>
    </row>
    <row r="63" spans="9:12" x14ac:dyDescent="0.25">
      <c r="I63" s="103"/>
      <c r="J63" s="103"/>
      <c r="K63" s="103"/>
      <c r="L63" s="103"/>
    </row>
    <row r="64" spans="9:12" x14ac:dyDescent="0.25">
      <c r="I64" s="103"/>
      <c r="J64" s="103"/>
      <c r="K64" s="103"/>
      <c r="L64" s="103"/>
    </row>
    <row r="65" spans="9:12" x14ac:dyDescent="0.25">
      <c r="I65" s="103"/>
      <c r="J65" s="103"/>
      <c r="K65" s="103"/>
      <c r="L65" s="103"/>
    </row>
    <row r="66" spans="9:12" x14ac:dyDescent="0.25">
      <c r="I66" s="103"/>
      <c r="J66" s="103"/>
      <c r="K66" s="103"/>
      <c r="L66" s="103"/>
    </row>
    <row r="67" spans="9:12" x14ac:dyDescent="0.25">
      <c r="I67" s="103"/>
      <c r="J67" s="103"/>
      <c r="K67" s="103"/>
      <c r="L67" s="103"/>
    </row>
    <row r="68" spans="9:12" x14ac:dyDescent="0.25">
      <c r="I68" s="103"/>
      <c r="J68" s="103"/>
      <c r="K68" s="103"/>
      <c r="L68" s="103"/>
    </row>
    <row r="69" spans="9:12" x14ac:dyDescent="0.25">
      <c r="I69" s="103"/>
      <c r="J69" s="103"/>
      <c r="K69" s="103"/>
      <c r="L69" s="103"/>
    </row>
  </sheetData>
  <sheetProtection selectLockedCells="1" selectUnlockedCells="1"/>
  <mergeCells count="3">
    <mergeCell ref="I7:L21"/>
    <mergeCell ref="I32:L46"/>
    <mergeCell ref="I55:L69"/>
  </mergeCells>
  <pageMargins left="0.7" right="0.7" top="0.75" bottom="0.75" header="0.3" footer="0.3"/>
  <pageSetup scale="7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9"/>
  <sheetViews>
    <sheetView showGridLines="0" workbookViewId="0"/>
  </sheetViews>
  <sheetFormatPr defaultRowHeight="13.2" x14ac:dyDescent="0.25"/>
  <cols>
    <col min="1" max="1" width="4.33203125" customWidth="1"/>
    <col min="3" max="3" width="33.33203125" customWidth="1"/>
    <col min="4" max="4" width="10.109375" bestFit="1" customWidth="1"/>
    <col min="10" max="10" width="5.33203125" customWidth="1"/>
  </cols>
  <sheetData>
    <row r="1" spans="1:9" ht="17.399999999999999" x14ac:dyDescent="0.3">
      <c r="I1" s="45" t="s">
        <v>56</v>
      </c>
    </row>
    <row r="2" spans="1:9" ht="15" x14ac:dyDescent="0.25">
      <c r="I2" s="46" t="str">
        <f>co_name</f>
        <v>JAX® Mice and Services</v>
      </c>
    </row>
    <row r="3" spans="1:9" ht="18" x14ac:dyDescent="0.35">
      <c r="A3" s="4"/>
    </row>
    <row r="6" spans="1:9" ht="13.8" x14ac:dyDescent="0.25">
      <c r="B6" s="12" t="s">
        <v>57</v>
      </c>
      <c r="C6" s="12"/>
      <c r="D6" s="12"/>
      <c r="E6" s="12"/>
      <c r="F6" s="12"/>
      <c r="G6" s="12"/>
      <c r="H6" s="12"/>
      <c r="I6" s="12"/>
    </row>
    <row r="7" spans="1:9" x14ac:dyDescent="0.25">
      <c r="B7" s="54"/>
      <c r="C7" s="15"/>
      <c r="D7" s="15"/>
      <c r="E7" s="15"/>
      <c r="F7" s="5" t="s">
        <v>62</v>
      </c>
      <c r="G7" s="5" t="s">
        <v>63</v>
      </c>
      <c r="H7" s="5" t="s">
        <v>64</v>
      </c>
      <c r="I7" s="72" t="s">
        <v>99</v>
      </c>
    </row>
    <row r="8" spans="1:9" x14ac:dyDescent="0.25">
      <c r="B8" s="54"/>
      <c r="C8" s="15" t="s">
        <v>61</v>
      </c>
      <c r="D8" s="15"/>
      <c r="E8" s="15"/>
      <c r="F8" s="64">
        <f>$G$28</f>
        <v>4951</v>
      </c>
      <c r="G8" s="64">
        <f>$G$28</f>
        <v>4951</v>
      </c>
      <c r="H8" s="64">
        <f>$G$28</f>
        <v>4951</v>
      </c>
      <c r="I8" s="65">
        <f>SUM(F8:H8)</f>
        <v>14853</v>
      </c>
    </row>
    <row r="9" spans="1:9" x14ac:dyDescent="0.25">
      <c r="B9" s="54"/>
      <c r="C9" s="15" t="s">
        <v>239</v>
      </c>
      <c r="D9" s="15"/>
      <c r="E9" s="15"/>
      <c r="F9" s="33">
        <f>F38</f>
        <v>1825</v>
      </c>
      <c r="G9" s="33">
        <f t="shared" ref="G9:H9" si="0">G38</f>
        <v>1600</v>
      </c>
      <c r="H9" s="33">
        <f t="shared" si="0"/>
        <v>1600</v>
      </c>
      <c r="I9" s="73">
        <f>SUM(F9:H9)</f>
        <v>5025</v>
      </c>
    </row>
    <row r="10" spans="1:9" x14ac:dyDescent="0.25">
      <c r="B10" s="54"/>
      <c r="C10" s="59" t="s">
        <v>240</v>
      </c>
      <c r="D10" s="15"/>
      <c r="E10" s="15"/>
      <c r="F10" s="64">
        <f>F8-F9</f>
        <v>3126</v>
      </c>
      <c r="G10" s="64">
        <f t="shared" ref="G10:I10" si="1">G8-G9</f>
        <v>3351</v>
      </c>
      <c r="H10" s="64">
        <f t="shared" si="1"/>
        <v>3351</v>
      </c>
      <c r="I10" s="65">
        <f t="shared" si="1"/>
        <v>9828</v>
      </c>
    </row>
    <row r="11" spans="1:9" x14ac:dyDescent="0.25">
      <c r="B11" s="54"/>
      <c r="C11" s="59" t="str">
        <f>IFERROR(CONCATENATE("Simple payback in: ",TEXT(simple_payback,"0.00")," years"),"")</f>
        <v>Simple payback in: 0.37 years</v>
      </c>
      <c r="D11" s="52" t="s">
        <v>311</v>
      </c>
      <c r="E11" s="15"/>
      <c r="F11" s="64"/>
      <c r="G11" s="64"/>
      <c r="H11" s="64"/>
      <c r="I11" s="98"/>
    </row>
    <row r="12" spans="1:9" x14ac:dyDescent="0.25">
      <c r="B12" s="61"/>
      <c r="C12" s="66"/>
      <c r="D12" s="74"/>
      <c r="E12" s="62"/>
      <c r="F12" s="67"/>
      <c r="G12" s="67"/>
      <c r="H12" s="67"/>
      <c r="I12" s="68"/>
    </row>
    <row r="14" spans="1:9" ht="13.8" x14ac:dyDescent="0.25">
      <c r="B14" s="12" t="s">
        <v>58</v>
      </c>
      <c r="C14" s="12"/>
      <c r="D14" s="12"/>
      <c r="E14" s="12"/>
      <c r="F14" s="12"/>
      <c r="G14" s="12"/>
      <c r="H14" s="12"/>
      <c r="I14" s="12"/>
    </row>
    <row r="15" spans="1:9" x14ac:dyDescent="0.25">
      <c r="B15" s="54"/>
      <c r="C15" s="31" t="s">
        <v>65</v>
      </c>
      <c r="D15" s="31"/>
      <c r="E15" s="31"/>
      <c r="F15" s="5" t="s">
        <v>62</v>
      </c>
      <c r="G15" s="5" t="s">
        <v>63</v>
      </c>
      <c r="H15" s="5" t="s">
        <v>64</v>
      </c>
      <c r="I15" s="72" t="s">
        <v>99</v>
      </c>
    </row>
    <row r="16" spans="1:9" x14ac:dyDescent="0.25">
      <c r="B16" s="54"/>
      <c r="C16" s="15" t="s">
        <v>102</v>
      </c>
      <c r="D16" s="15"/>
      <c r="E16" s="15"/>
      <c r="F16" s="15">
        <f>$F25*wks_per_yr</f>
        <v>52</v>
      </c>
      <c r="G16" s="15">
        <f>$F25*wks_per_yr</f>
        <v>52</v>
      </c>
      <c r="H16" s="15">
        <f>$F25*wks_per_yr</f>
        <v>52</v>
      </c>
      <c r="I16" s="56">
        <f>SUM(F16:H16)</f>
        <v>156</v>
      </c>
    </row>
    <row r="17" spans="2:9" x14ac:dyDescent="0.25">
      <c r="B17" s="54"/>
      <c r="C17" s="15" t="s">
        <v>103</v>
      </c>
      <c r="D17" s="15"/>
      <c r="E17" s="15"/>
      <c r="F17" s="15">
        <f>Inputs!$F25*months_per_yr</f>
        <v>24</v>
      </c>
      <c r="G17" s="15">
        <f>Inputs!$F25*months_per_yr</f>
        <v>24</v>
      </c>
      <c r="H17" s="15">
        <f>Inputs!$F25*months_per_yr</f>
        <v>24</v>
      </c>
      <c r="I17" s="56">
        <f>SUM(F17:H17)</f>
        <v>72</v>
      </c>
    </row>
    <row r="18" spans="2:9" x14ac:dyDescent="0.25">
      <c r="B18" s="54"/>
      <c r="C18" s="15" t="s">
        <v>108</v>
      </c>
      <c r="D18" s="15"/>
      <c r="E18" s="15"/>
      <c r="F18" s="15">
        <f>Inputs!$F10*days_per_yr</f>
        <v>2190</v>
      </c>
      <c r="G18" s="15">
        <f>Inputs!$F10*days_per_yr</f>
        <v>2190</v>
      </c>
      <c r="H18" s="15">
        <f>Inputs!$F10*days_per_yr</f>
        <v>2190</v>
      </c>
      <c r="I18" s="56">
        <f>SUM(F18:H18)</f>
        <v>6570</v>
      </c>
    </row>
    <row r="19" spans="2:9" x14ac:dyDescent="0.25">
      <c r="B19" s="54"/>
      <c r="C19" s="15" t="s">
        <v>100</v>
      </c>
      <c r="D19" s="15"/>
      <c r="E19" s="15"/>
      <c r="F19" s="15">
        <f>((Inputs!$F35/litters_per_yr)*Inputs!$F36)*wks_per_yr</f>
        <v>39</v>
      </c>
      <c r="G19" s="15">
        <f>((Inputs!$F35/litters_per_yr)*Inputs!$F36)*wks_per_yr</f>
        <v>39</v>
      </c>
      <c r="H19" s="15">
        <f>((Inputs!$F35/litters_per_yr)*Inputs!$F36)*wks_per_yr</f>
        <v>39</v>
      </c>
      <c r="I19" s="56">
        <f>SUM(F19:H19)</f>
        <v>117</v>
      </c>
    </row>
    <row r="20" spans="2:9" x14ac:dyDescent="0.25">
      <c r="B20" s="61"/>
      <c r="C20" s="62"/>
      <c r="D20" s="62"/>
      <c r="E20" s="62"/>
      <c r="F20" s="62"/>
      <c r="G20" s="62"/>
      <c r="H20" s="62"/>
      <c r="I20" s="63"/>
    </row>
    <row r="22" spans="2:9" ht="13.8" x14ac:dyDescent="0.25">
      <c r="B22" s="12" t="s">
        <v>59</v>
      </c>
      <c r="C22" s="12"/>
      <c r="D22" s="12"/>
      <c r="E22" s="12"/>
      <c r="F22" s="12"/>
      <c r="G22" s="12"/>
      <c r="H22" s="12"/>
      <c r="I22" s="12"/>
    </row>
    <row r="23" spans="2:9" x14ac:dyDescent="0.25">
      <c r="B23" s="54"/>
      <c r="C23" s="31" t="s">
        <v>65</v>
      </c>
      <c r="D23" s="5" t="s">
        <v>70</v>
      </c>
      <c r="E23" s="5" t="s">
        <v>77</v>
      </c>
      <c r="F23" s="5" t="s">
        <v>71</v>
      </c>
      <c r="G23" s="5" t="s">
        <v>72</v>
      </c>
      <c r="H23" s="5" t="s">
        <v>73</v>
      </c>
      <c r="I23" s="56"/>
    </row>
    <row r="24" spans="2:9" x14ac:dyDescent="0.25">
      <c r="B24" s="54"/>
      <c r="C24" s="15" t="s">
        <v>66</v>
      </c>
      <c r="D24" s="57">
        <f>Inputs!F11</f>
        <v>1.5</v>
      </c>
      <c r="E24" s="15" t="s">
        <v>74</v>
      </c>
      <c r="F24" s="15">
        <f>Inputs!F10</f>
        <v>6</v>
      </c>
      <c r="G24" s="64">
        <f>ROUND(D24*F24*days_per_yr,0)</f>
        <v>3285</v>
      </c>
      <c r="H24" s="58">
        <f>G24/$G$28</f>
        <v>0.66350232276307819</v>
      </c>
      <c r="I24" s="56"/>
    </row>
    <row r="25" spans="2:9" x14ac:dyDescent="0.25">
      <c r="B25" s="54"/>
      <c r="C25" s="15" t="s">
        <v>67</v>
      </c>
      <c r="D25" s="57">
        <f>D49</f>
        <v>13</v>
      </c>
      <c r="E25" s="15" t="s">
        <v>75</v>
      </c>
      <c r="F25" s="15">
        <f>Inputs!F14</f>
        <v>1</v>
      </c>
      <c r="G25" s="64">
        <f>ROUND((D25*wks_per_yr)*F25,0)</f>
        <v>676</v>
      </c>
      <c r="H25" s="58">
        <f t="shared" ref="H25:H28" si="2">G25/$G$28</f>
        <v>0.13653807311654212</v>
      </c>
      <c r="I25" s="56"/>
    </row>
    <row r="26" spans="2:9" x14ac:dyDescent="0.25">
      <c r="B26" s="54"/>
      <c r="C26" s="15" t="s">
        <v>68</v>
      </c>
      <c r="D26" s="57">
        <f>D68</f>
        <v>82.5</v>
      </c>
      <c r="E26" s="15" t="s">
        <v>76</v>
      </c>
      <c r="F26" s="15">
        <v>12</v>
      </c>
      <c r="G26" s="64">
        <f>D26*F26</f>
        <v>990</v>
      </c>
      <c r="H26" s="58">
        <f t="shared" si="2"/>
        <v>0.19995960412037972</v>
      </c>
      <c r="I26" s="56"/>
    </row>
    <row r="27" spans="2:9" ht="2.1" customHeight="1" x14ac:dyDescent="0.25">
      <c r="B27" s="54"/>
      <c r="C27" s="15"/>
      <c r="D27" s="15"/>
      <c r="E27" s="15"/>
      <c r="F27" s="15"/>
      <c r="G27" s="23"/>
      <c r="H27" s="27"/>
      <c r="I27" s="56"/>
    </row>
    <row r="28" spans="2:9" x14ac:dyDescent="0.25">
      <c r="B28" s="54"/>
      <c r="C28" s="59" t="s">
        <v>69</v>
      </c>
      <c r="D28" s="15"/>
      <c r="E28" s="15"/>
      <c r="F28" s="15"/>
      <c r="G28" s="64">
        <f>ROUND(SUBTOTAL(9,G24:G27),0)</f>
        <v>4951</v>
      </c>
      <c r="H28" s="58">
        <f t="shared" si="2"/>
        <v>1</v>
      </c>
      <c r="I28" s="56"/>
    </row>
    <row r="29" spans="2:9" x14ac:dyDescent="0.25">
      <c r="B29" s="61"/>
      <c r="C29" s="66"/>
      <c r="D29" s="62"/>
      <c r="E29" s="62"/>
      <c r="F29" s="62"/>
      <c r="G29" s="67"/>
      <c r="H29" s="71"/>
      <c r="I29" s="63"/>
    </row>
    <row r="31" spans="2:9" ht="13.8" x14ac:dyDescent="0.25">
      <c r="B31" s="12" t="s">
        <v>60</v>
      </c>
      <c r="C31" s="12"/>
      <c r="D31" s="12"/>
      <c r="E31" s="12"/>
      <c r="F31" s="12"/>
      <c r="G31" s="12"/>
      <c r="H31" s="12"/>
      <c r="I31" s="12"/>
    </row>
    <row r="32" spans="2:9" x14ac:dyDescent="0.25">
      <c r="B32" s="54"/>
      <c r="C32" s="31" t="s">
        <v>65</v>
      </c>
      <c r="D32" s="5" t="s">
        <v>70</v>
      </c>
      <c r="E32" s="5" t="s">
        <v>71</v>
      </c>
      <c r="F32" s="5" t="s">
        <v>62</v>
      </c>
      <c r="G32" s="5" t="s">
        <v>63</v>
      </c>
      <c r="H32" s="5" t="s">
        <v>64</v>
      </c>
      <c r="I32" s="69" t="s">
        <v>99</v>
      </c>
    </row>
    <row r="33" spans="2:9" x14ac:dyDescent="0.25">
      <c r="B33" s="54"/>
      <c r="C33" s="15" t="s">
        <v>97</v>
      </c>
      <c r="D33" s="64">
        <f>VLOOKUP(donor,tbl_donor[],3,0)*(1-VLOOKUP(cryo_option,tbl_cryo_options[],4,0))</f>
        <v>1650</v>
      </c>
      <c r="E33" s="15">
        <v>1</v>
      </c>
      <c r="F33" s="64">
        <f>D33*E33</f>
        <v>1650</v>
      </c>
      <c r="G33" s="64">
        <v>0</v>
      </c>
      <c r="H33" s="64">
        <v>0</v>
      </c>
      <c r="I33" s="65">
        <f>SUM(F33:H33)</f>
        <v>1650</v>
      </c>
    </row>
    <row r="34" spans="2:9" x14ac:dyDescent="0.25">
      <c r="B34" s="54"/>
      <c r="C34" s="15" t="s">
        <v>251</v>
      </c>
      <c r="D34" s="64">
        <f>VLOOKUP(donor,tbl_donor[],7,0)</f>
        <v>700</v>
      </c>
      <c r="E34" s="15">
        <f>IF(Inputs!F32="Yes",1,0)</f>
        <v>0</v>
      </c>
      <c r="F34" s="64">
        <f>D34*E34</f>
        <v>0</v>
      </c>
      <c r="G34" s="64">
        <v>0</v>
      </c>
      <c r="H34" s="64">
        <v>0</v>
      </c>
      <c r="I34" s="65">
        <f t="shared" ref="I34:I35" si="3">SUM(F34:H34)</f>
        <v>0</v>
      </c>
    </row>
    <row r="35" spans="2:9" x14ac:dyDescent="0.25">
      <c r="B35" s="54"/>
      <c r="C35" s="15" t="s">
        <v>252</v>
      </c>
      <c r="D35" s="64">
        <f>VLOOKUP(donor, tbl_donor[],6,0)</f>
        <v>1600</v>
      </c>
      <c r="E35" s="15">
        <f>Inputs!F41</f>
        <v>2</v>
      </c>
      <c r="F35" s="64">
        <v>0</v>
      </c>
      <c r="G35" s="64">
        <f>ROUND(($D35*$E35)/2,0)</f>
        <v>1600</v>
      </c>
      <c r="H35" s="64">
        <f>ROUND(($D35*$E35)/2,0)</f>
        <v>1600</v>
      </c>
      <c r="I35" s="65">
        <f t="shared" si="3"/>
        <v>3200</v>
      </c>
    </row>
    <row r="36" spans="2:9" x14ac:dyDescent="0.25">
      <c r="B36" s="54"/>
      <c r="C36" s="15" t="s">
        <v>253</v>
      </c>
      <c r="D36" s="64">
        <f>storage_cost</f>
        <v>175</v>
      </c>
      <c r="E36" s="15">
        <f>Inputs!F40</f>
        <v>1</v>
      </c>
      <c r="F36" s="64">
        <f>D36*E36</f>
        <v>175</v>
      </c>
      <c r="G36" s="64">
        <v>0</v>
      </c>
      <c r="H36" s="64">
        <v>0</v>
      </c>
      <c r="I36" s="65">
        <f t="shared" ref="I36" si="4">SUM(F36:H36)</f>
        <v>175</v>
      </c>
    </row>
    <row r="37" spans="2:9" ht="2.1" customHeight="1" x14ac:dyDescent="0.25">
      <c r="B37" s="54"/>
      <c r="C37" s="15"/>
      <c r="D37" s="64"/>
      <c r="E37" s="15"/>
      <c r="F37" s="23"/>
      <c r="G37" s="23"/>
      <c r="H37" s="23"/>
      <c r="I37" s="70"/>
    </row>
    <row r="38" spans="2:9" x14ac:dyDescent="0.25">
      <c r="B38" s="54"/>
      <c r="C38" s="59" t="s">
        <v>98</v>
      </c>
      <c r="D38" s="64"/>
      <c r="E38" s="15"/>
      <c r="F38" s="64">
        <f>ROUND(SUBTOTAL(9,F33:F37),0)</f>
        <v>1825</v>
      </c>
      <c r="G38" s="64">
        <f t="shared" ref="G38:I38" si="5">ROUND(SUBTOTAL(9,G33:G37),0)</f>
        <v>1600</v>
      </c>
      <c r="H38" s="64">
        <f t="shared" si="5"/>
        <v>1600</v>
      </c>
      <c r="I38" s="65">
        <f t="shared" si="5"/>
        <v>5025</v>
      </c>
    </row>
    <row r="39" spans="2:9" x14ac:dyDescent="0.25">
      <c r="B39" s="61"/>
      <c r="C39" s="66"/>
      <c r="D39" s="67"/>
      <c r="E39" s="62"/>
      <c r="F39" s="67"/>
      <c r="G39" s="67"/>
      <c r="H39" s="67"/>
      <c r="I39" s="68"/>
    </row>
    <row r="41" spans="2:9" ht="13.8" x14ac:dyDescent="0.25">
      <c r="B41" s="12" t="s">
        <v>81</v>
      </c>
      <c r="C41" s="12"/>
      <c r="D41" s="12"/>
      <c r="E41" s="12"/>
      <c r="F41" s="12"/>
      <c r="G41" s="12"/>
      <c r="H41" s="12"/>
      <c r="I41" s="12"/>
    </row>
    <row r="42" spans="2:9" x14ac:dyDescent="0.25">
      <c r="B42" s="54"/>
      <c r="C42" s="55" t="s">
        <v>87</v>
      </c>
      <c r="D42" s="15"/>
      <c r="E42" s="15"/>
      <c r="F42" s="15"/>
      <c r="G42" s="15"/>
      <c r="H42" s="15"/>
      <c r="I42" s="56"/>
    </row>
    <row r="43" spans="2:9" x14ac:dyDescent="0.25">
      <c r="B43" s="54"/>
      <c r="C43" s="15" t="s">
        <v>82</v>
      </c>
      <c r="D43" s="96" t="str">
        <f>Inputs!F15</f>
        <v>Hourly</v>
      </c>
      <c r="E43" s="15"/>
      <c r="F43" s="15"/>
      <c r="G43" s="15"/>
      <c r="H43" s="15"/>
      <c r="I43" s="56"/>
    </row>
    <row r="44" spans="2:9" x14ac:dyDescent="0.25">
      <c r="B44" s="54"/>
      <c r="C44" s="15" t="s">
        <v>70</v>
      </c>
      <c r="D44" s="57">
        <f>IF(D43="Hourly",Inputs!F17,Inputs!F16)</f>
        <v>10</v>
      </c>
      <c r="E44" s="15"/>
      <c r="F44" s="15"/>
      <c r="G44" s="15"/>
      <c r="H44" s="15"/>
      <c r="I44" s="56"/>
    </row>
    <row r="45" spans="2:9" x14ac:dyDescent="0.25">
      <c r="B45" s="54"/>
      <c r="C45" s="15" t="s">
        <v>84</v>
      </c>
      <c r="D45" s="58">
        <f>Inputs!F18</f>
        <v>0.3</v>
      </c>
      <c r="E45" s="15"/>
      <c r="F45" s="15"/>
      <c r="G45" s="15"/>
      <c r="H45" s="15"/>
      <c r="I45" s="56"/>
    </row>
    <row r="46" spans="2:9" ht="2.1" customHeight="1" x14ac:dyDescent="0.25">
      <c r="B46" s="54"/>
      <c r="C46" s="15"/>
      <c r="D46" s="27"/>
      <c r="E46" s="15"/>
      <c r="F46" s="15"/>
      <c r="G46" s="15"/>
      <c r="H46" s="15"/>
      <c r="I46" s="56"/>
    </row>
    <row r="47" spans="2:9" x14ac:dyDescent="0.25">
      <c r="B47" s="54"/>
      <c r="C47" s="59" t="s">
        <v>85</v>
      </c>
      <c r="D47" s="57">
        <f>D44*(1+D45)</f>
        <v>13</v>
      </c>
      <c r="E47" s="15"/>
      <c r="F47" s="15"/>
      <c r="G47" s="15"/>
      <c r="H47" s="15"/>
      <c r="I47" s="56"/>
    </row>
    <row r="48" spans="2:9" ht="2.1" customHeight="1" x14ac:dyDescent="0.25">
      <c r="B48" s="54"/>
      <c r="C48" s="59"/>
      <c r="D48" s="28"/>
      <c r="E48" s="15"/>
      <c r="F48" s="15"/>
      <c r="G48" s="15"/>
      <c r="H48" s="15"/>
      <c r="I48" s="56"/>
    </row>
    <row r="49" spans="2:9" ht="13.8" thickBot="1" x14ac:dyDescent="0.3">
      <c r="B49" s="54"/>
      <c r="C49" s="60" t="s">
        <v>86</v>
      </c>
      <c r="D49" s="30">
        <f>IF(D43="Hourly",D47,D47/hrs_per_yr)</f>
        <v>13</v>
      </c>
      <c r="E49" s="15"/>
      <c r="F49" s="15"/>
      <c r="G49" s="15"/>
      <c r="H49" s="15"/>
      <c r="I49" s="56"/>
    </row>
    <row r="50" spans="2:9" ht="13.8" thickTop="1" x14ac:dyDescent="0.25">
      <c r="B50" s="54"/>
      <c r="C50" s="15"/>
      <c r="D50" s="15"/>
      <c r="E50" s="15"/>
      <c r="F50" s="15"/>
      <c r="G50" s="15"/>
      <c r="H50" s="15"/>
      <c r="I50" s="56"/>
    </row>
    <row r="51" spans="2:9" x14ac:dyDescent="0.25">
      <c r="B51" s="54"/>
      <c r="C51" s="15"/>
      <c r="D51" s="15"/>
      <c r="E51" s="15"/>
      <c r="F51" s="15"/>
      <c r="G51" s="15"/>
      <c r="H51" s="15"/>
      <c r="I51" s="56"/>
    </row>
    <row r="52" spans="2:9" x14ac:dyDescent="0.25">
      <c r="B52" s="54"/>
      <c r="C52" s="55" t="s">
        <v>68</v>
      </c>
      <c r="D52" s="15"/>
      <c r="E52" s="15"/>
      <c r="F52" s="15"/>
      <c r="G52" s="15"/>
      <c r="H52" s="15"/>
      <c r="I52" s="56"/>
    </row>
    <row r="53" spans="2:9" x14ac:dyDescent="0.25">
      <c r="B53" s="54"/>
      <c r="C53" s="15" t="s">
        <v>88</v>
      </c>
      <c r="D53" s="15" t="b">
        <f>Inputs!F21</f>
        <v>1</v>
      </c>
      <c r="E53" s="15"/>
      <c r="F53" s="15"/>
      <c r="G53" s="15"/>
      <c r="H53" s="15"/>
      <c r="I53" s="56"/>
    </row>
    <row r="54" spans="2:9" x14ac:dyDescent="0.25">
      <c r="B54" s="54"/>
      <c r="C54" s="15" t="s">
        <v>89</v>
      </c>
      <c r="D54" s="15" t="str">
        <f>Inputs!F22</f>
        <v>Outside Svc</v>
      </c>
      <c r="E54" s="15"/>
      <c r="F54" s="15"/>
      <c r="G54" s="15"/>
      <c r="H54" s="15"/>
      <c r="I54" s="56"/>
    </row>
    <row r="55" spans="2:9" x14ac:dyDescent="0.25">
      <c r="B55" s="54"/>
      <c r="C55" s="15"/>
      <c r="D55" s="15"/>
      <c r="E55" s="15"/>
      <c r="F55" s="15"/>
      <c r="G55" s="15"/>
      <c r="H55" s="15"/>
      <c r="I55" s="56"/>
    </row>
    <row r="56" spans="2:9" x14ac:dyDescent="0.25">
      <c r="B56" s="54"/>
      <c r="C56" s="15" t="s">
        <v>90</v>
      </c>
      <c r="D56" s="15"/>
      <c r="E56" s="15"/>
      <c r="F56" s="15"/>
      <c r="G56" s="15"/>
      <c r="H56" s="15"/>
      <c r="I56" s="56"/>
    </row>
    <row r="57" spans="2:9" x14ac:dyDescent="0.25">
      <c r="B57" s="54"/>
      <c r="C57" s="15" t="s">
        <v>70</v>
      </c>
      <c r="D57" s="57">
        <f>Tables!D49</f>
        <v>13</v>
      </c>
      <c r="E57" s="15"/>
      <c r="F57" s="15"/>
      <c r="G57" s="15"/>
      <c r="H57" s="15"/>
      <c r="I57" s="56"/>
    </row>
    <row r="58" spans="2:9" x14ac:dyDescent="0.25">
      <c r="B58" s="54"/>
      <c r="C58" s="15" t="s">
        <v>94</v>
      </c>
      <c r="D58" s="15">
        <f>Inputs!F25</f>
        <v>2</v>
      </c>
      <c r="E58" s="15"/>
      <c r="F58" s="15"/>
      <c r="G58" s="15"/>
      <c r="H58" s="15"/>
      <c r="I58" s="56"/>
    </row>
    <row r="59" spans="2:9" ht="2.1" customHeight="1" x14ac:dyDescent="0.25">
      <c r="B59" s="54"/>
      <c r="C59" s="15"/>
      <c r="D59" s="23"/>
      <c r="E59" s="15"/>
      <c r="F59" s="15"/>
      <c r="G59" s="15"/>
      <c r="H59" s="15"/>
      <c r="I59" s="56"/>
    </row>
    <row r="60" spans="2:9" x14ac:dyDescent="0.25">
      <c r="B60" s="54"/>
      <c r="C60" s="15" t="s">
        <v>95</v>
      </c>
      <c r="D60" s="57">
        <f>D57*D58</f>
        <v>26</v>
      </c>
      <c r="E60" s="15"/>
      <c r="F60" s="15"/>
      <c r="G60" s="15"/>
      <c r="H60" s="15"/>
      <c r="I60" s="56"/>
    </row>
    <row r="61" spans="2:9" x14ac:dyDescent="0.25">
      <c r="B61" s="54"/>
      <c r="C61" s="15"/>
      <c r="D61" s="15"/>
      <c r="E61" s="15"/>
      <c r="F61" s="15"/>
      <c r="G61" s="15"/>
      <c r="H61" s="15"/>
      <c r="I61" s="56"/>
    </row>
    <row r="62" spans="2:9" x14ac:dyDescent="0.25">
      <c r="B62" s="54"/>
      <c r="C62" s="15" t="s">
        <v>91</v>
      </c>
      <c r="D62" s="15"/>
      <c r="E62" s="15"/>
      <c r="F62" s="15"/>
      <c r="G62" s="15"/>
      <c r="H62" s="15"/>
      <c r="I62" s="56"/>
    </row>
    <row r="63" spans="2:9" x14ac:dyDescent="0.25">
      <c r="B63" s="54"/>
      <c r="C63" s="15" t="s">
        <v>35</v>
      </c>
      <c r="D63" s="57">
        <f>Inputs!F24</f>
        <v>16.5</v>
      </c>
      <c r="E63" s="15"/>
      <c r="F63" s="15"/>
      <c r="G63" s="15"/>
      <c r="H63" s="15"/>
      <c r="I63" s="56"/>
    </row>
    <row r="64" spans="2:9" x14ac:dyDescent="0.25">
      <c r="B64" s="54"/>
      <c r="C64" s="15" t="s">
        <v>92</v>
      </c>
      <c r="D64" s="15">
        <f>Inputs!F23</f>
        <v>5</v>
      </c>
      <c r="E64" s="15"/>
      <c r="F64" s="15"/>
      <c r="G64" s="15"/>
      <c r="H64" s="15"/>
      <c r="I64" s="56"/>
    </row>
    <row r="65" spans="2:9" ht="2.1" customHeight="1" x14ac:dyDescent="0.25">
      <c r="B65" s="54"/>
      <c r="C65" s="15"/>
      <c r="D65" s="23"/>
      <c r="E65" s="15"/>
      <c r="F65" s="15"/>
      <c r="G65" s="15"/>
      <c r="H65" s="15"/>
      <c r="I65" s="56"/>
    </row>
    <row r="66" spans="2:9" x14ac:dyDescent="0.25">
      <c r="B66" s="54"/>
      <c r="C66" s="59" t="s">
        <v>96</v>
      </c>
      <c r="D66" s="57">
        <f>D63*D64</f>
        <v>82.5</v>
      </c>
      <c r="E66" s="15"/>
      <c r="F66" s="15"/>
      <c r="G66" s="15"/>
      <c r="H66" s="15"/>
      <c r="I66" s="56"/>
    </row>
    <row r="67" spans="2:9" x14ac:dyDescent="0.25">
      <c r="B67" s="54"/>
      <c r="C67" s="15"/>
      <c r="D67" s="23"/>
      <c r="E67" s="15"/>
      <c r="F67" s="15"/>
      <c r="G67" s="15"/>
      <c r="H67" s="15"/>
      <c r="I67" s="56"/>
    </row>
    <row r="68" spans="2:9" ht="13.8" thickBot="1" x14ac:dyDescent="0.3">
      <c r="B68" s="54"/>
      <c r="C68" s="15" t="s">
        <v>93</v>
      </c>
      <c r="D68" s="29">
        <f>IF(D53,IF(D54="Internal Staff",D60,D66),0)</f>
        <v>82.5</v>
      </c>
      <c r="E68" s="15"/>
      <c r="F68" s="15"/>
      <c r="G68" s="15"/>
      <c r="H68" s="15"/>
      <c r="I68" s="56"/>
    </row>
    <row r="69" spans="2:9" ht="13.8" thickTop="1" x14ac:dyDescent="0.25">
      <c r="B69" s="61"/>
      <c r="C69" s="62"/>
      <c r="D69" s="62"/>
      <c r="E69" s="62"/>
      <c r="F69" s="62"/>
      <c r="G69" s="62"/>
      <c r="H69" s="62"/>
      <c r="I69" s="63"/>
    </row>
  </sheetData>
  <hyperlinks>
    <hyperlink ref="D11" location="help_21" display="More Info"/>
  </hyperlinks>
  <pageMargins left="0.7" right="0.7" top="0.75" bottom="0.75" header="0.3" footer="0.3"/>
  <pageSetup scale="83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showRowColHeaders="0" workbookViewId="0">
      <selection activeCell="K5" sqref="K5"/>
    </sheetView>
  </sheetViews>
  <sheetFormatPr defaultRowHeight="13.2" x14ac:dyDescent="0.25"/>
  <cols>
    <col min="3" max="3" width="10.5546875" customWidth="1"/>
    <col min="4" max="4" width="12.44140625" customWidth="1"/>
    <col min="5" max="5" width="13.33203125" customWidth="1"/>
    <col min="6" max="6" width="11.44140625" customWidth="1"/>
  </cols>
  <sheetData>
    <row r="1" spans="1:9" ht="17.399999999999999" x14ac:dyDescent="0.3">
      <c r="I1" s="45" t="s">
        <v>137</v>
      </c>
    </row>
    <row r="2" spans="1:9" ht="15" x14ac:dyDescent="0.25">
      <c r="I2" s="46" t="str">
        <f>co_name</f>
        <v>JAX® Mice and Services</v>
      </c>
    </row>
    <row r="6" spans="1:9" ht="13.8" thickBot="1" x14ac:dyDescent="0.3">
      <c r="A6" s="1"/>
    </row>
    <row r="7" spans="1:9" ht="14.4" thickTop="1" thickBot="1" x14ac:dyDescent="0.3">
      <c r="B7" s="18" t="s">
        <v>209</v>
      </c>
      <c r="C7" s="104" t="str">
        <f>VLOOKUP($B7,tbl_ref[],MATCH("Notes",tbl_ref[#Headers],0),0)</f>
        <v>The total number of cages, measured in shoe box pens, used for the strain</v>
      </c>
      <c r="D7" s="104"/>
      <c r="E7" s="104"/>
      <c r="F7" s="104"/>
      <c r="G7" s="104"/>
      <c r="H7" s="104"/>
      <c r="I7" s="16" t="s">
        <v>0</v>
      </c>
    </row>
    <row r="8" spans="1:9" ht="14.4" thickTop="1" thickBot="1" x14ac:dyDescent="0.3">
      <c r="B8" s="18"/>
      <c r="C8" s="104"/>
      <c r="D8" s="104"/>
      <c r="E8" s="104"/>
      <c r="F8" s="104"/>
      <c r="G8" s="104"/>
      <c r="H8" s="104"/>
    </row>
    <row r="9" spans="1:9" ht="14.4" thickTop="1" thickBot="1" x14ac:dyDescent="0.3">
      <c r="B9" s="18"/>
      <c r="C9" s="104"/>
      <c r="D9" s="104"/>
      <c r="E9" s="104"/>
      <c r="F9" s="104"/>
      <c r="G9" s="104"/>
      <c r="H9" s="104"/>
    </row>
    <row r="10" spans="1:9" ht="14.4" thickTop="1" thickBot="1" x14ac:dyDescent="0.3">
      <c r="B10" s="18"/>
    </row>
    <row r="11" spans="1:9" ht="14.4" thickTop="1" thickBot="1" x14ac:dyDescent="0.3">
      <c r="B11" s="18" t="s">
        <v>203</v>
      </c>
      <c r="C11" s="104" t="str">
        <f>VLOOKUP($B11,tbl_ref[],MATCH("Notes",tbl_ref[#Headers],0),0)</f>
        <v>The PerDiem rate per cage tends to range $0.60 to $2.50 per day in most academic vivariums</v>
      </c>
      <c r="D11" s="104"/>
      <c r="E11" s="104"/>
      <c r="F11" s="104"/>
      <c r="G11" s="104"/>
      <c r="H11" s="104"/>
      <c r="I11" s="16" t="s">
        <v>0</v>
      </c>
    </row>
    <row r="12" spans="1:9" ht="14.4" thickTop="1" thickBot="1" x14ac:dyDescent="0.3">
      <c r="B12" s="18"/>
      <c r="C12" s="104"/>
      <c r="D12" s="104"/>
      <c r="E12" s="104"/>
      <c r="F12" s="104"/>
      <c r="G12" s="104"/>
      <c r="H12" s="104"/>
    </row>
    <row r="13" spans="1:9" ht="14.4" thickTop="1" thickBot="1" x14ac:dyDescent="0.3">
      <c r="B13" s="18"/>
      <c r="C13" s="104"/>
      <c r="D13" s="104"/>
      <c r="E13" s="104"/>
      <c r="F13" s="104"/>
      <c r="G13" s="104"/>
      <c r="H13" s="104"/>
    </row>
    <row r="14" spans="1:9" ht="14.4" thickTop="1" thickBot="1" x14ac:dyDescent="0.3">
      <c r="B14" s="18"/>
    </row>
    <row r="15" spans="1:9" ht="14.4" thickTop="1" thickBot="1" x14ac:dyDescent="0.3">
      <c r="B15" s="18" t="s">
        <v>204</v>
      </c>
      <c r="C15" s="104" t="str">
        <f>VLOOKUP($B15,tbl_ref[],MATCH("Notes",tbl_ref[#Headers],0),0)</f>
        <v>Include travel from lab to vivarium, setting breeders, euthanizing animals, record keeping, etc. Exclude activities covered by per diem rate or genotyping-related activities.</v>
      </c>
      <c r="D15" s="104"/>
      <c r="E15" s="104"/>
      <c r="F15" s="104"/>
      <c r="G15" s="104"/>
      <c r="H15" s="104"/>
      <c r="I15" s="16" t="s">
        <v>0</v>
      </c>
    </row>
    <row r="16" spans="1:9" ht="14.4" thickTop="1" thickBot="1" x14ac:dyDescent="0.3">
      <c r="B16" s="18"/>
      <c r="C16" s="104"/>
      <c r="D16" s="104"/>
      <c r="E16" s="104"/>
      <c r="F16" s="104"/>
      <c r="G16" s="104"/>
      <c r="H16" s="104"/>
    </row>
    <row r="17" spans="2:9" ht="14.4" thickTop="1" thickBot="1" x14ac:dyDescent="0.3">
      <c r="B17" s="18"/>
      <c r="C17" s="104"/>
      <c r="D17" s="104"/>
      <c r="E17" s="104"/>
      <c r="F17" s="104"/>
      <c r="G17" s="104"/>
      <c r="H17" s="104"/>
    </row>
    <row r="18" spans="2:9" ht="14.4" thickTop="1" thickBot="1" x14ac:dyDescent="0.3">
      <c r="B18" s="18"/>
    </row>
    <row r="19" spans="2:9" ht="14.4" thickTop="1" thickBot="1" x14ac:dyDescent="0.3">
      <c r="B19" s="18" t="s">
        <v>205</v>
      </c>
      <c r="C19" s="104" t="str">
        <f>VLOOKUP($B19,tbl_ref[],MATCH("Notes",tbl_ref[#Headers],0),0)</f>
        <v>Help section for question 4</v>
      </c>
      <c r="D19" s="104"/>
      <c r="E19" s="104"/>
      <c r="F19" s="104"/>
      <c r="G19" s="104"/>
      <c r="H19" s="104"/>
      <c r="I19" s="16" t="s">
        <v>0</v>
      </c>
    </row>
    <row r="20" spans="2:9" ht="14.4" thickTop="1" thickBot="1" x14ac:dyDescent="0.3">
      <c r="B20" s="18"/>
      <c r="C20" s="104"/>
      <c r="D20" s="104"/>
      <c r="E20" s="104"/>
      <c r="F20" s="104"/>
      <c r="G20" s="104"/>
      <c r="H20" s="104"/>
    </row>
    <row r="21" spans="2:9" ht="14.4" thickTop="1" thickBot="1" x14ac:dyDescent="0.3">
      <c r="B21" s="18"/>
      <c r="C21" s="104"/>
      <c r="D21" s="104"/>
      <c r="E21" s="104"/>
      <c r="F21" s="104"/>
      <c r="G21" s="104"/>
      <c r="H21" s="104"/>
    </row>
    <row r="22" spans="2:9" ht="14.4" thickTop="1" thickBot="1" x14ac:dyDescent="0.3">
      <c r="B22" s="18"/>
    </row>
    <row r="23" spans="2:9" ht="14.4" thickTop="1" thickBot="1" x14ac:dyDescent="0.3">
      <c r="B23" s="18" t="s">
        <v>206</v>
      </c>
      <c r="C23" s="104" t="str">
        <f>VLOOKUP($B23,tbl_ref[],MATCH("Notes",tbl_ref[#Headers],0),0)</f>
        <v>Exclude overhead and benefits</v>
      </c>
      <c r="D23" s="104"/>
      <c r="E23" s="104"/>
      <c r="F23" s="104"/>
      <c r="G23" s="104"/>
      <c r="H23" s="104"/>
      <c r="I23" s="16" t="s">
        <v>0</v>
      </c>
    </row>
    <row r="24" spans="2:9" ht="14.4" thickTop="1" thickBot="1" x14ac:dyDescent="0.3">
      <c r="B24" s="18"/>
      <c r="C24" s="104"/>
      <c r="D24" s="104"/>
      <c r="E24" s="104"/>
      <c r="F24" s="104"/>
      <c r="G24" s="104"/>
      <c r="H24" s="104"/>
    </row>
    <row r="25" spans="2:9" ht="14.4" thickTop="1" thickBot="1" x14ac:dyDescent="0.3">
      <c r="B25" s="18"/>
      <c r="C25" s="104"/>
      <c r="D25" s="104"/>
      <c r="E25" s="104"/>
      <c r="F25" s="104"/>
      <c r="G25" s="104"/>
      <c r="H25" s="104"/>
    </row>
    <row r="26" spans="2:9" ht="14.4" thickTop="1" thickBot="1" x14ac:dyDescent="0.3">
      <c r="B26" s="18"/>
    </row>
    <row r="27" spans="2:9" ht="14.4" thickTop="1" thickBot="1" x14ac:dyDescent="0.3">
      <c r="B27" s="18" t="s">
        <v>207</v>
      </c>
      <c r="C27" s="104" t="str">
        <f>VLOOKUP($B27,tbl_ref[],MATCH("Notes",tbl_ref[#Headers],0),0)</f>
        <v>Exclude overhead and benefits</v>
      </c>
      <c r="D27" s="104"/>
      <c r="E27" s="104"/>
      <c r="F27" s="104"/>
      <c r="G27" s="104"/>
      <c r="H27" s="104"/>
      <c r="I27" s="16" t="s">
        <v>0</v>
      </c>
    </row>
    <row r="28" spans="2:9" ht="14.4" thickTop="1" thickBot="1" x14ac:dyDescent="0.3">
      <c r="B28" s="18"/>
      <c r="C28" s="104"/>
      <c r="D28" s="104"/>
      <c r="E28" s="104"/>
      <c r="F28" s="104"/>
      <c r="G28" s="104"/>
      <c r="H28" s="104"/>
    </row>
    <row r="29" spans="2:9" ht="14.4" thickTop="1" thickBot="1" x14ac:dyDescent="0.3">
      <c r="B29" s="18"/>
      <c r="C29" s="104"/>
      <c r="D29" s="104"/>
      <c r="E29" s="104"/>
      <c r="F29" s="104"/>
      <c r="G29" s="104"/>
      <c r="H29" s="104"/>
    </row>
    <row r="30" spans="2:9" ht="14.4" thickTop="1" thickBot="1" x14ac:dyDescent="0.3">
      <c r="B30" s="18"/>
    </row>
    <row r="31" spans="2:9" ht="14.4" thickTop="1" thickBot="1" x14ac:dyDescent="0.3">
      <c r="B31" s="18" t="s">
        <v>208</v>
      </c>
      <c r="C31" s="104" t="str">
        <f>VLOOKUP($B31,tbl_ref[],MATCH("Notes",tbl_ref[#Headers],0),0)</f>
        <v>The average staff overhead and benefit rate expressed as a percentage of base pay</v>
      </c>
      <c r="D31" s="104"/>
      <c r="E31" s="104"/>
      <c r="F31" s="104"/>
      <c r="G31" s="104"/>
      <c r="H31" s="104"/>
      <c r="I31" s="16" t="s">
        <v>0</v>
      </c>
    </row>
    <row r="32" spans="2:9" ht="14.4" thickTop="1" thickBot="1" x14ac:dyDescent="0.3">
      <c r="B32" s="18"/>
      <c r="C32" s="104"/>
      <c r="D32" s="104"/>
      <c r="E32" s="104"/>
      <c r="F32" s="104"/>
      <c r="G32" s="104"/>
      <c r="H32" s="104"/>
    </row>
    <row r="33" spans="2:9" ht="14.4" thickTop="1" thickBot="1" x14ac:dyDescent="0.3">
      <c r="B33" s="18"/>
      <c r="C33" s="104"/>
      <c r="D33" s="104"/>
      <c r="E33" s="104"/>
      <c r="F33" s="104"/>
      <c r="G33" s="104"/>
      <c r="H33" s="104"/>
    </row>
    <row r="34" spans="2:9" ht="14.4" thickTop="1" thickBot="1" x14ac:dyDescent="0.3">
      <c r="B34" s="18"/>
    </row>
    <row r="35" spans="2:9" ht="14.4" thickTop="1" thickBot="1" x14ac:dyDescent="0.3">
      <c r="B35" s="18" t="s">
        <v>210</v>
      </c>
      <c r="C35" s="104">
        <f>VLOOKUP($B35,tbl_ref[],MATCH("Notes",tbl_ref[#Headers],0),0)</f>
        <v>0</v>
      </c>
      <c r="D35" s="104"/>
      <c r="E35" s="104"/>
      <c r="F35" s="104"/>
      <c r="G35" s="104"/>
      <c r="H35" s="104"/>
      <c r="I35" s="16" t="s">
        <v>0</v>
      </c>
    </row>
    <row r="36" spans="2:9" ht="14.4" thickTop="1" thickBot="1" x14ac:dyDescent="0.3">
      <c r="B36" s="18"/>
      <c r="C36" s="104"/>
      <c r="D36" s="104"/>
      <c r="E36" s="104"/>
      <c r="F36" s="104"/>
      <c r="G36" s="104"/>
      <c r="H36" s="104"/>
    </row>
    <row r="37" spans="2:9" ht="14.4" thickTop="1" thickBot="1" x14ac:dyDescent="0.3">
      <c r="B37" s="18"/>
      <c r="C37" s="104"/>
      <c r="D37" s="104"/>
      <c r="E37" s="104"/>
      <c r="F37" s="104"/>
      <c r="G37" s="104"/>
      <c r="H37" s="104"/>
    </row>
    <row r="38" spans="2:9" ht="14.4" thickTop="1" thickBot="1" x14ac:dyDescent="0.3">
      <c r="B38" s="18"/>
    </row>
    <row r="39" spans="2:9" ht="14.4" thickTop="1" thickBot="1" x14ac:dyDescent="0.3">
      <c r="B39" s="18" t="s">
        <v>211</v>
      </c>
      <c r="C39" s="104">
        <f>VLOOKUP($B39,tbl_ref[],MATCH("Notes",tbl_ref[#Headers],0),0)</f>
        <v>0</v>
      </c>
      <c r="D39" s="104"/>
      <c r="E39" s="104"/>
      <c r="F39" s="104"/>
      <c r="G39" s="104"/>
      <c r="H39" s="104"/>
      <c r="I39" s="16" t="s">
        <v>0</v>
      </c>
    </row>
    <row r="40" spans="2:9" ht="14.4" thickTop="1" thickBot="1" x14ac:dyDescent="0.3">
      <c r="B40" s="18"/>
      <c r="C40" s="104"/>
      <c r="D40" s="104"/>
      <c r="E40" s="104"/>
      <c r="F40" s="104"/>
      <c r="G40" s="104"/>
      <c r="H40" s="104"/>
    </row>
    <row r="41" spans="2:9" ht="14.4" thickTop="1" thickBot="1" x14ac:dyDescent="0.3">
      <c r="B41" s="18"/>
      <c r="C41" s="104"/>
      <c r="D41" s="104"/>
      <c r="E41" s="104"/>
      <c r="F41" s="104"/>
      <c r="G41" s="104"/>
      <c r="H41" s="104"/>
    </row>
    <row r="42" spans="2:9" ht="14.4" thickTop="1" thickBot="1" x14ac:dyDescent="0.3">
      <c r="B42" s="18"/>
    </row>
    <row r="43" spans="2:9" ht="14.4" thickTop="1" thickBot="1" x14ac:dyDescent="0.3">
      <c r="B43" s="18" t="s">
        <v>212</v>
      </c>
      <c r="C43" s="104" t="str">
        <f>VLOOKUP($B43,tbl_ref[],MATCH("Notes",tbl_ref[#Headers],0),0)</f>
        <v>Number of samples genotyped per month</v>
      </c>
      <c r="D43" s="104"/>
      <c r="E43" s="104"/>
      <c r="F43" s="104"/>
      <c r="G43" s="104"/>
      <c r="H43" s="104"/>
      <c r="I43" s="16" t="s">
        <v>0</v>
      </c>
    </row>
    <row r="44" spans="2:9" ht="14.4" thickTop="1" thickBot="1" x14ac:dyDescent="0.3">
      <c r="B44" s="18"/>
      <c r="C44" s="104"/>
      <c r="D44" s="104"/>
      <c r="E44" s="104"/>
      <c r="F44" s="104"/>
      <c r="G44" s="104"/>
      <c r="H44" s="104"/>
    </row>
    <row r="45" spans="2:9" ht="14.4" thickTop="1" thickBot="1" x14ac:dyDescent="0.3">
      <c r="B45" s="18"/>
      <c r="C45" s="104"/>
      <c r="D45" s="104"/>
      <c r="E45" s="104"/>
      <c r="F45" s="104"/>
      <c r="G45" s="104"/>
      <c r="H45" s="104"/>
    </row>
    <row r="46" spans="2:9" ht="14.4" thickTop="1" thickBot="1" x14ac:dyDescent="0.3">
      <c r="B46" s="18"/>
    </row>
    <row r="47" spans="2:9" ht="14.4" thickTop="1" thickBot="1" x14ac:dyDescent="0.3">
      <c r="B47" s="18" t="s">
        <v>213</v>
      </c>
      <c r="C47" s="104">
        <f>VLOOKUP($B47,tbl_ref[],MATCH("Notes",tbl_ref[#Headers],0),0)</f>
        <v>0</v>
      </c>
      <c r="D47" s="104"/>
      <c r="E47" s="104"/>
      <c r="F47" s="104"/>
      <c r="G47" s="104"/>
      <c r="H47" s="104"/>
      <c r="I47" s="16" t="s">
        <v>0</v>
      </c>
    </row>
    <row r="48" spans="2:9" ht="14.4" thickTop="1" thickBot="1" x14ac:dyDescent="0.3">
      <c r="B48" s="18"/>
      <c r="C48" s="104"/>
      <c r="D48" s="104"/>
      <c r="E48" s="104"/>
      <c r="F48" s="104"/>
      <c r="G48" s="104"/>
      <c r="H48" s="104"/>
    </row>
    <row r="49" spans="2:9" ht="14.4" thickTop="1" thickBot="1" x14ac:dyDescent="0.3">
      <c r="B49" s="18"/>
      <c r="C49" s="104"/>
      <c r="D49" s="104"/>
      <c r="E49" s="104"/>
      <c r="F49" s="104"/>
      <c r="G49" s="104"/>
      <c r="H49" s="104"/>
    </row>
    <row r="50" spans="2:9" ht="14.4" thickTop="1" thickBot="1" x14ac:dyDescent="0.3">
      <c r="B50" s="18"/>
    </row>
    <row r="51" spans="2:9" ht="14.4" thickTop="1" thickBot="1" x14ac:dyDescent="0.3">
      <c r="B51" s="18" t="s">
        <v>214</v>
      </c>
      <c r="C51" s="104" t="str">
        <f>VLOOKUP($B51,tbl_ref[],MATCH("Notes",tbl_ref[#Headers],0),0)</f>
        <v>Include genotyping hours (collecting tails, DNA isolation, PCR, Analysis)</v>
      </c>
      <c r="D51" s="104"/>
      <c r="E51" s="104"/>
      <c r="F51" s="104"/>
      <c r="G51" s="104"/>
      <c r="H51" s="104"/>
      <c r="I51" s="16" t="s">
        <v>0</v>
      </c>
    </row>
    <row r="52" spans="2:9" ht="14.4" thickTop="1" thickBot="1" x14ac:dyDescent="0.3">
      <c r="B52" s="18"/>
      <c r="C52" s="104"/>
      <c r="D52" s="104"/>
      <c r="E52" s="104"/>
      <c r="F52" s="104"/>
      <c r="G52" s="104"/>
      <c r="H52" s="104"/>
    </row>
    <row r="53" spans="2:9" ht="14.4" thickTop="1" thickBot="1" x14ac:dyDescent="0.3">
      <c r="B53" s="18"/>
      <c r="C53" s="104"/>
      <c r="D53" s="104"/>
      <c r="E53" s="104"/>
      <c r="F53" s="104"/>
      <c r="G53" s="104"/>
      <c r="H53" s="104"/>
    </row>
    <row r="54" spans="2:9" ht="14.4" thickTop="1" thickBot="1" x14ac:dyDescent="0.3">
      <c r="B54" s="18"/>
    </row>
    <row r="55" spans="2:9" ht="14.4" thickTop="1" thickBot="1" x14ac:dyDescent="0.3">
      <c r="B55" s="18" t="s">
        <v>215</v>
      </c>
      <c r="C55" s="104">
        <f>VLOOKUP($B55,tbl_ref[],MATCH("Notes",tbl_ref[#Headers],0),0)</f>
        <v>0</v>
      </c>
      <c r="D55" s="104"/>
      <c r="E55" s="104"/>
      <c r="F55" s="104"/>
      <c r="G55" s="104"/>
      <c r="H55" s="104"/>
      <c r="I55" s="16" t="s">
        <v>0</v>
      </c>
    </row>
    <row r="56" spans="2:9" ht="14.4" thickTop="1" thickBot="1" x14ac:dyDescent="0.3">
      <c r="B56" s="18"/>
      <c r="C56" s="104"/>
      <c r="D56" s="104"/>
      <c r="E56" s="104"/>
      <c r="F56" s="104"/>
      <c r="G56" s="104"/>
      <c r="H56" s="104"/>
    </row>
    <row r="57" spans="2:9" ht="14.4" thickTop="1" thickBot="1" x14ac:dyDescent="0.3">
      <c r="C57" s="104"/>
      <c r="D57" s="104"/>
      <c r="E57" s="104"/>
      <c r="F57" s="104"/>
      <c r="G57" s="104"/>
      <c r="H57" s="104"/>
    </row>
    <row r="58" spans="2:9" ht="14.4" thickTop="1" thickBot="1" x14ac:dyDescent="0.3"/>
    <row r="59" spans="2:9" ht="14.4" thickTop="1" thickBot="1" x14ac:dyDescent="0.3">
      <c r="B59" s="18" t="s">
        <v>216</v>
      </c>
      <c r="C59" s="104">
        <f>VLOOKUP($B59,tbl_ref[],MATCH("Notes",tbl_ref[#Headers],0),0)</f>
        <v>0</v>
      </c>
      <c r="D59" s="104"/>
      <c r="E59" s="104"/>
      <c r="F59" s="104"/>
      <c r="G59" s="104"/>
      <c r="H59" s="104"/>
      <c r="I59" s="16" t="s">
        <v>0</v>
      </c>
    </row>
    <row r="60" spans="2:9" ht="14.4" thickTop="1" thickBot="1" x14ac:dyDescent="0.3">
      <c r="C60" s="104"/>
      <c r="D60" s="104"/>
      <c r="E60" s="104"/>
      <c r="F60" s="104"/>
      <c r="G60" s="104"/>
      <c r="H60" s="104"/>
    </row>
    <row r="61" spans="2:9" ht="14.4" thickTop="1" thickBot="1" x14ac:dyDescent="0.3">
      <c r="C61" s="104"/>
      <c r="D61" s="104"/>
      <c r="E61" s="104"/>
      <c r="F61" s="104"/>
      <c r="G61" s="104"/>
      <c r="H61" s="104"/>
    </row>
    <row r="62" spans="2:9" ht="14.4" thickTop="1" thickBot="1" x14ac:dyDescent="0.3"/>
    <row r="63" spans="2:9" ht="14.4" thickTop="1" thickBot="1" x14ac:dyDescent="0.3">
      <c r="B63" s="18" t="s">
        <v>217</v>
      </c>
      <c r="C63" s="104" t="str">
        <f>VLOOKUP($B63,tbl_ref[],MATCH("Notes",tbl_ref[#Headers],0),0)</f>
        <v>Required for A/J, C57BL/10J, 129X1/SvJ, and 129S1/SvlmJ strains.   Additional fees of $685 apply</v>
      </c>
      <c r="D63" s="104"/>
      <c r="E63" s="104"/>
      <c r="F63" s="104"/>
      <c r="G63" s="104"/>
      <c r="H63" s="104"/>
      <c r="I63" s="16" t="s">
        <v>0</v>
      </c>
    </row>
    <row r="64" spans="2:9" ht="14.4" thickTop="1" thickBot="1" x14ac:dyDescent="0.3">
      <c r="C64" s="104"/>
      <c r="D64" s="104"/>
      <c r="E64" s="104"/>
      <c r="F64" s="104"/>
      <c r="G64" s="104"/>
      <c r="H64" s="104"/>
    </row>
    <row r="65" spans="2:9" ht="14.4" thickTop="1" thickBot="1" x14ac:dyDescent="0.3">
      <c r="C65" s="104"/>
      <c r="D65" s="104"/>
      <c r="E65" s="104"/>
      <c r="F65" s="104"/>
      <c r="G65" s="104"/>
      <c r="H65" s="104"/>
    </row>
    <row r="66" spans="2:9" ht="14.4" thickTop="1" thickBot="1" x14ac:dyDescent="0.3"/>
    <row r="67" spans="2:9" ht="14.4" thickTop="1" thickBot="1" x14ac:dyDescent="0.3">
      <c r="B67" s="18" t="s">
        <v>222</v>
      </c>
      <c r="C67" s="104" t="str">
        <f>VLOOKUP($B67,tbl_ref[],MATCH("Notes",tbl_ref[#Headers],0),0)</f>
        <v>How many times over the next 2 years will you recover this strain? Note: Each recovery typically yields 10 or more pups and consumes 1 straw of frozen sperm.   The cost for each recovery attempt is $1,395.</v>
      </c>
      <c r="D67" s="104"/>
      <c r="E67" s="104"/>
      <c r="F67" s="104"/>
      <c r="G67" s="104"/>
      <c r="H67" s="104"/>
      <c r="I67" s="16" t="s">
        <v>0</v>
      </c>
    </row>
    <row r="68" spans="2:9" ht="14.4" thickTop="1" thickBot="1" x14ac:dyDescent="0.3">
      <c r="B68" s="18"/>
      <c r="C68" s="104"/>
      <c r="D68" s="104"/>
      <c r="E68" s="104"/>
      <c r="F68" s="104"/>
      <c r="G68" s="104"/>
      <c r="H68" s="104"/>
    </row>
    <row r="69" spans="2:9" ht="14.4" thickTop="1" thickBot="1" x14ac:dyDescent="0.3">
      <c r="B69" s="18"/>
      <c r="C69" s="104"/>
      <c r="D69" s="104"/>
      <c r="E69" s="104"/>
      <c r="F69" s="104"/>
      <c r="G69" s="104"/>
      <c r="H69" s="104"/>
    </row>
    <row r="70" spans="2:9" ht="14.4" thickTop="1" thickBot="1" x14ac:dyDescent="0.3">
      <c r="B70" s="18"/>
    </row>
    <row r="71" spans="2:9" ht="14.4" thickTop="1" thickBot="1" x14ac:dyDescent="0.3">
      <c r="B71" s="18" t="s">
        <v>218</v>
      </c>
      <c r="C71" s="104">
        <f>VLOOKUP($B71,tbl_ref[],MATCH("Notes",tbl_ref[#Headers],0),0)</f>
        <v>0</v>
      </c>
      <c r="D71" s="104"/>
      <c r="E71" s="104"/>
      <c r="F71" s="104"/>
      <c r="G71" s="104"/>
      <c r="H71" s="104"/>
      <c r="I71" s="16" t="s">
        <v>0</v>
      </c>
    </row>
    <row r="72" spans="2:9" ht="14.4" thickTop="1" thickBot="1" x14ac:dyDescent="0.3">
      <c r="B72" s="18"/>
      <c r="C72" s="104"/>
      <c r="D72" s="104"/>
      <c r="E72" s="104"/>
      <c r="F72" s="104"/>
      <c r="G72" s="104"/>
      <c r="H72" s="104"/>
    </row>
    <row r="73" spans="2:9" ht="14.4" thickTop="1" thickBot="1" x14ac:dyDescent="0.3">
      <c r="B73" s="18"/>
      <c r="C73" s="104"/>
      <c r="D73" s="104"/>
      <c r="E73" s="104"/>
      <c r="F73" s="104"/>
      <c r="G73" s="104"/>
      <c r="H73" s="104"/>
    </row>
    <row r="74" spans="2:9" ht="14.4" thickTop="1" thickBot="1" x14ac:dyDescent="0.3">
      <c r="B74" s="18"/>
    </row>
    <row r="75" spans="2:9" ht="14.4" thickTop="1" thickBot="1" x14ac:dyDescent="0.3">
      <c r="B75" s="18" t="s">
        <v>219</v>
      </c>
      <c r="C75" s="104">
        <f>VLOOKUP($B75,tbl_ref[],MATCH("Notes",tbl_ref[#Headers],0),0)</f>
        <v>0</v>
      </c>
      <c r="D75" s="104"/>
      <c r="E75" s="104"/>
      <c r="F75" s="104"/>
      <c r="G75" s="104"/>
      <c r="H75" s="104"/>
      <c r="I75" s="16" t="s">
        <v>0</v>
      </c>
    </row>
    <row r="76" spans="2:9" ht="14.4" thickTop="1" thickBot="1" x14ac:dyDescent="0.3">
      <c r="B76" s="18"/>
      <c r="C76" s="104"/>
      <c r="D76" s="104"/>
      <c r="E76" s="104"/>
      <c r="F76" s="104"/>
      <c r="G76" s="104"/>
      <c r="H76" s="104"/>
    </row>
    <row r="77" spans="2:9" ht="14.4" thickTop="1" thickBot="1" x14ac:dyDescent="0.3">
      <c r="B77" s="18"/>
      <c r="C77" s="104"/>
      <c r="D77" s="104"/>
      <c r="E77" s="104"/>
      <c r="F77" s="104"/>
      <c r="G77" s="104"/>
      <c r="H77" s="104"/>
    </row>
    <row r="78" spans="2:9" ht="14.4" thickTop="1" thickBot="1" x14ac:dyDescent="0.3">
      <c r="B78" s="18"/>
    </row>
    <row r="79" spans="2:9" ht="14.4" thickTop="1" thickBot="1" x14ac:dyDescent="0.3">
      <c r="B79" s="18" t="s">
        <v>220</v>
      </c>
      <c r="C79" s="104">
        <f>VLOOKUP($B79,tbl_ref[],MATCH("Notes",tbl_ref[#Headers],0),0)</f>
        <v>0</v>
      </c>
      <c r="D79" s="104"/>
      <c r="E79" s="104"/>
      <c r="F79" s="104"/>
      <c r="G79" s="104"/>
      <c r="H79" s="104"/>
      <c r="I79" s="16" t="s">
        <v>0</v>
      </c>
    </row>
    <row r="80" spans="2:9" ht="14.4" thickTop="1" thickBot="1" x14ac:dyDescent="0.3">
      <c r="B80" s="18"/>
      <c r="C80" s="104"/>
      <c r="D80" s="104"/>
      <c r="E80" s="104"/>
      <c r="F80" s="104"/>
      <c r="G80" s="104"/>
      <c r="H80" s="104"/>
    </row>
    <row r="81" spans="2:9" ht="14.4" thickTop="1" thickBot="1" x14ac:dyDescent="0.3">
      <c r="B81" s="18"/>
      <c r="C81" s="104"/>
      <c r="D81" s="104"/>
      <c r="E81" s="104"/>
      <c r="F81" s="104"/>
      <c r="G81" s="104"/>
      <c r="H81" s="104"/>
    </row>
    <row r="82" spans="2:9" ht="14.4" thickTop="1" thickBot="1" x14ac:dyDescent="0.3">
      <c r="B82" s="18"/>
    </row>
    <row r="83" spans="2:9" ht="14.4" thickTop="1" thickBot="1" x14ac:dyDescent="0.3">
      <c r="B83" s="18" t="s">
        <v>221</v>
      </c>
      <c r="C83" s="104" t="str">
        <f>VLOOKUP($B83,tbl_ref[],MATCH("Notes",tbl_ref[#Headers],0),0)</f>
        <v>Cost benefit analysis is designed to evaluate a period of three years, which requires input of one extra year of storage to provide a true comparison over the time period.</v>
      </c>
      <c r="D83" s="104"/>
      <c r="E83" s="104"/>
      <c r="F83" s="104"/>
      <c r="G83" s="104"/>
      <c r="H83" s="104"/>
      <c r="I83" s="16" t="s">
        <v>0</v>
      </c>
    </row>
    <row r="84" spans="2:9" ht="14.4" thickTop="1" thickBot="1" x14ac:dyDescent="0.3">
      <c r="B84" s="18"/>
      <c r="C84" s="104"/>
      <c r="D84" s="104"/>
      <c r="E84" s="104"/>
      <c r="F84" s="104"/>
      <c r="G84" s="104"/>
      <c r="H84" s="104"/>
    </row>
    <row r="85" spans="2:9" ht="14.4" thickTop="1" thickBot="1" x14ac:dyDescent="0.3">
      <c r="B85" s="18"/>
      <c r="C85" s="104"/>
      <c r="D85" s="104"/>
      <c r="E85" s="104"/>
      <c r="F85" s="104"/>
      <c r="G85" s="104"/>
      <c r="H85" s="104"/>
    </row>
    <row r="86" spans="2:9" ht="14.4" thickTop="1" thickBot="1" x14ac:dyDescent="0.3"/>
    <row r="87" spans="2:9" ht="14.4" thickTop="1" thickBot="1" x14ac:dyDescent="0.3">
      <c r="B87" s="18" t="s">
        <v>308</v>
      </c>
      <c r="C87" s="104" t="str">
        <f>VLOOKUP($B87,tbl_ref[],MATCH("Notes",tbl_ref[#Headers],0),0)</f>
        <v>Simple payback is an estimate of the time required for the initial investment in cryo to be paid back through reductions in live colony costs.</v>
      </c>
      <c r="D87" s="104"/>
      <c r="E87" s="104"/>
      <c r="F87" s="104"/>
      <c r="G87" s="104"/>
      <c r="H87" s="104"/>
      <c r="I87" s="16" t="s">
        <v>185</v>
      </c>
    </row>
    <row r="88" spans="2:9" ht="14.4" thickTop="1" thickBot="1" x14ac:dyDescent="0.3">
      <c r="B88" s="18"/>
      <c r="C88" s="104"/>
      <c r="D88" s="104"/>
      <c r="E88" s="104"/>
      <c r="F88" s="104"/>
      <c r="G88" s="104"/>
      <c r="H88" s="104"/>
    </row>
    <row r="89" spans="2:9" ht="14.4" thickTop="1" thickBot="1" x14ac:dyDescent="0.3">
      <c r="B89" s="18"/>
      <c r="C89" s="104"/>
      <c r="D89" s="104"/>
      <c r="E89" s="104"/>
      <c r="F89" s="104"/>
      <c r="G89" s="104"/>
      <c r="H89" s="104"/>
    </row>
    <row r="90" spans="2:9" ht="13.8" thickTop="1" x14ac:dyDescent="0.25"/>
  </sheetData>
  <mergeCells count="21">
    <mergeCell ref="C7:H9"/>
    <mergeCell ref="C11:H13"/>
    <mergeCell ref="C15:H17"/>
    <mergeCell ref="C19:H21"/>
    <mergeCell ref="C23:H25"/>
    <mergeCell ref="C27:H29"/>
    <mergeCell ref="C63:H65"/>
    <mergeCell ref="C67:H69"/>
    <mergeCell ref="C71:H73"/>
    <mergeCell ref="C55:H57"/>
    <mergeCell ref="C59:H61"/>
    <mergeCell ref="C31:H33"/>
    <mergeCell ref="C35:H37"/>
    <mergeCell ref="C39:H41"/>
    <mergeCell ref="C43:H45"/>
    <mergeCell ref="C47:H49"/>
    <mergeCell ref="C87:H89"/>
    <mergeCell ref="C75:H77"/>
    <mergeCell ref="C79:H81"/>
    <mergeCell ref="C83:H85"/>
    <mergeCell ref="C51:H53"/>
  </mergeCells>
  <hyperlinks>
    <hyperlink ref="I7" location="Inputs!A1" display="Settings"/>
    <hyperlink ref="I11" location="Inputs!A1" display="Settings"/>
    <hyperlink ref="I15" location="Inputs!A1" display="Settings"/>
    <hyperlink ref="I19" location="Inputs!A1" display="Settings"/>
    <hyperlink ref="I23" location="Inputs!A1" display="Settings"/>
    <hyperlink ref="I27" location="Inputs!A1" display="Settings"/>
    <hyperlink ref="I31" location="Inputs!A1" display="Settings"/>
    <hyperlink ref="I35" location="Inputs!A1" display="Settings"/>
    <hyperlink ref="I39" location="Inputs!A1" display="Settings"/>
    <hyperlink ref="I43" location="Inputs!A1" display="Settings"/>
    <hyperlink ref="I47" location="Inputs!A1" display="Settings"/>
    <hyperlink ref="I51" location="Inputs!A1" display="Settings"/>
    <hyperlink ref="I55" location="Inputs!A1" display="Settings"/>
    <hyperlink ref="I59" location="Inputs!A1" display="Settings"/>
    <hyperlink ref="I63" location="Inputs!A1" display="Settings"/>
    <hyperlink ref="I67" location="Inputs!A1" display="Settings"/>
    <hyperlink ref="I71" location="Inputs!A1" display="Settings"/>
    <hyperlink ref="I75" location="Inputs!A1" display="Settings"/>
    <hyperlink ref="I79" location="Inputs!A1" display="Settings"/>
    <hyperlink ref="I83" location="Inputs!A1" display="Settings"/>
    <hyperlink ref="I87" location="Tables!A1" display="Tables"/>
  </hyperlinks>
  <pageMargins left="0.7" right="0.7" top="0.75" bottom="0.75" header="0.3" footer="0.3"/>
  <pageSetup scale="98" fitToHeight="7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opLeftCell="A10" workbookViewId="0">
      <selection activeCell="J38" sqref="J38"/>
    </sheetView>
  </sheetViews>
  <sheetFormatPr defaultRowHeight="13.2" x14ac:dyDescent="0.25"/>
  <cols>
    <col min="2" max="2" width="24.44140625" customWidth="1"/>
    <col min="3" max="3" width="40.44140625" customWidth="1"/>
    <col min="4" max="4" width="20.109375" customWidth="1"/>
    <col min="5" max="5" width="13.44140625" customWidth="1"/>
    <col min="6" max="6" width="19.109375" customWidth="1"/>
    <col min="7" max="7" width="14" customWidth="1"/>
  </cols>
  <sheetData>
    <row r="1" spans="1:8" ht="24" thickBot="1" x14ac:dyDescent="0.5">
      <c r="A1" s="2" t="s">
        <v>27</v>
      </c>
      <c r="B1" s="3"/>
      <c r="C1" s="3"/>
      <c r="D1" s="3"/>
      <c r="E1" s="3"/>
      <c r="F1" s="3"/>
      <c r="G1" s="3"/>
      <c r="H1" s="3"/>
    </row>
    <row r="2" spans="1:8" ht="18" x14ac:dyDescent="0.35">
      <c r="A2" s="4" t="str">
        <f>co_name</f>
        <v>JAX® Mice and Services</v>
      </c>
    </row>
    <row r="4" spans="1:8" x14ac:dyDescent="0.25">
      <c r="A4" s="1" t="s">
        <v>1</v>
      </c>
      <c r="B4" t="s">
        <v>3</v>
      </c>
    </row>
    <row r="6" spans="1:8" x14ac:dyDescent="0.25">
      <c r="A6" s="1" t="s">
        <v>0</v>
      </c>
    </row>
    <row r="7" spans="1:8" x14ac:dyDescent="0.25">
      <c r="A7" s="1"/>
      <c r="B7" t="s">
        <v>269</v>
      </c>
    </row>
    <row r="8" spans="1:8" x14ac:dyDescent="0.25">
      <c r="A8" s="1"/>
    </row>
    <row r="9" spans="1:8" x14ac:dyDescent="0.25">
      <c r="B9" t="s">
        <v>55</v>
      </c>
      <c r="C9" s="76" t="s">
        <v>199</v>
      </c>
    </row>
    <row r="10" spans="1:8" x14ac:dyDescent="0.25">
      <c r="B10" t="s">
        <v>104</v>
      </c>
      <c r="C10" s="76">
        <v>52</v>
      </c>
    </row>
    <row r="11" spans="1:8" x14ac:dyDescent="0.25">
      <c r="B11" t="s">
        <v>105</v>
      </c>
      <c r="C11" s="76">
        <v>2080</v>
      </c>
    </row>
    <row r="12" spans="1:8" x14ac:dyDescent="0.25">
      <c r="B12" t="s">
        <v>106</v>
      </c>
      <c r="C12" s="76">
        <v>365</v>
      </c>
    </row>
    <row r="13" spans="1:8" x14ac:dyDescent="0.25">
      <c r="B13" t="s">
        <v>107</v>
      </c>
      <c r="C13" s="76">
        <v>12</v>
      </c>
    </row>
    <row r="14" spans="1:8" x14ac:dyDescent="0.25">
      <c r="B14" t="s">
        <v>254</v>
      </c>
      <c r="C14" s="76">
        <v>8</v>
      </c>
    </row>
    <row r="15" spans="1:8" x14ac:dyDescent="0.25">
      <c r="C15" s="18"/>
    </row>
    <row r="16" spans="1:8" x14ac:dyDescent="0.25">
      <c r="A16" s="1" t="s">
        <v>174</v>
      </c>
      <c r="C16" s="18"/>
    </row>
    <row r="17" spans="1:8" x14ac:dyDescent="0.25">
      <c r="A17" s="1"/>
      <c r="B17" t="s">
        <v>268</v>
      </c>
      <c r="C17" s="77">
        <v>175</v>
      </c>
    </row>
    <row r="18" spans="1:8" x14ac:dyDescent="0.25">
      <c r="A18" s="1"/>
    </row>
    <row r="19" spans="1:8" x14ac:dyDescent="0.25">
      <c r="B19" s="1" t="s">
        <v>138</v>
      </c>
    </row>
    <row r="20" spans="1:8" x14ac:dyDescent="0.25">
      <c r="B20" s="53" t="s">
        <v>270</v>
      </c>
    </row>
    <row r="21" spans="1:8" x14ac:dyDescent="0.25">
      <c r="B21" s="78" t="s">
        <v>271</v>
      </c>
    </row>
    <row r="22" spans="1:8" x14ac:dyDescent="0.25">
      <c r="B22" s="79" t="s">
        <v>153</v>
      </c>
      <c r="C22" t="s">
        <v>272</v>
      </c>
    </row>
    <row r="23" spans="1:8" x14ac:dyDescent="0.25">
      <c r="B23" s="79" t="s">
        <v>154</v>
      </c>
      <c r="C23" t="s">
        <v>273</v>
      </c>
    </row>
    <row r="24" spans="1:8" x14ac:dyDescent="0.25">
      <c r="B24" s="79" t="s">
        <v>155</v>
      </c>
      <c r="C24" t="s">
        <v>277</v>
      </c>
    </row>
    <row r="25" spans="1:8" x14ac:dyDescent="0.25">
      <c r="B25" s="79" t="s">
        <v>170</v>
      </c>
      <c r="C25" t="s">
        <v>274</v>
      </c>
    </row>
    <row r="26" spans="1:8" x14ac:dyDescent="0.25">
      <c r="B26" s="80" t="s">
        <v>175</v>
      </c>
      <c r="C26" t="s">
        <v>273</v>
      </c>
    </row>
    <row r="27" spans="1:8" x14ac:dyDescent="0.25">
      <c r="B27" s="80" t="s">
        <v>176</v>
      </c>
      <c r="C27" t="s">
        <v>275</v>
      </c>
    </row>
    <row r="28" spans="1:8" x14ac:dyDescent="0.25">
      <c r="B28" s="80" t="s">
        <v>177</v>
      </c>
      <c r="C28" t="s">
        <v>276</v>
      </c>
    </row>
    <row r="29" spans="1:8" x14ac:dyDescent="0.25">
      <c r="B29" s="1"/>
    </row>
    <row r="30" spans="1:8" x14ac:dyDescent="0.25">
      <c r="B30" s="1"/>
    </row>
    <row r="31" spans="1:8" x14ac:dyDescent="0.25">
      <c r="B31" t="s">
        <v>153</v>
      </c>
      <c r="C31" t="s">
        <v>154</v>
      </c>
      <c r="D31" t="s">
        <v>155</v>
      </c>
      <c r="E31" t="s">
        <v>170</v>
      </c>
      <c r="F31" t="s">
        <v>175</v>
      </c>
      <c r="G31" t="s">
        <v>176</v>
      </c>
      <c r="H31" t="s">
        <v>177</v>
      </c>
    </row>
    <row r="32" spans="1:8" x14ac:dyDescent="0.25">
      <c r="B32" t="s">
        <v>139</v>
      </c>
      <c r="C32" s="47" t="s">
        <v>156</v>
      </c>
      <c r="D32" s="19">
        <v>1650</v>
      </c>
      <c r="E32" t="b">
        <v>0</v>
      </c>
      <c r="F32" s="19">
        <v>3700</v>
      </c>
      <c r="G32" s="19">
        <v>1600</v>
      </c>
      <c r="H32" s="19">
        <v>700</v>
      </c>
    </row>
    <row r="33" spans="1:8" x14ac:dyDescent="0.25">
      <c r="B33" t="s">
        <v>140</v>
      </c>
      <c r="C33" s="47" t="s">
        <v>159</v>
      </c>
      <c r="D33" s="19">
        <v>1650</v>
      </c>
      <c r="E33" t="b">
        <v>0</v>
      </c>
      <c r="F33" s="19">
        <v>3700</v>
      </c>
      <c r="G33" s="19">
        <v>1600</v>
      </c>
      <c r="H33" s="19">
        <v>700</v>
      </c>
    </row>
    <row r="34" spans="1:8" x14ac:dyDescent="0.25">
      <c r="B34" t="s">
        <v>141</v>
      </c>
      <c r="C34" s="47" t="s">
        <v>160</v>
      </c>
      <c r="D34" s="19">
        <v>1650</v>
      </c>
      <c r="E34" t="b">
        <v>0</v>
      </c>
      <c r="F34" s="19">
        <v>3700</v>
      </c>
      <c r="G34" s="19">
        <v>1600</v>
      </c>
      <c r="H34" s="19">
        <v>700</v>
      </c>
    </row>
    <row r="35" spans="1:8" x14ac:dyDescent="0.25">
      <c r="B35" t="s">
        <v>142</v>
      </c>
      <c r="C35" s="47" t="s">
        <v>161</v>
      </c>
      <c r="D35" s="19">
        <v>1650</v>
      </c>
      <c r="E35" t="b">
        <v>0</v>
      </c>
      <c r="F35" s="19">
        <v>3700</v>
      </c>
      <c r="G35" s="19">
        <v>1600</v>
      </c>
      <c r="H35" s="19">
        <v>700</v>
      </c>
    </row>
    <row r="36" spans="1:8" x14ac:dyDescent="0.25">
      <c r="B36" t="s">
        <v>143</v>
      </c>
      <c r="C36" s="47" t="s">
        <v>162</v>
      </c>
      <c r="D36" s="19">
        <v>1650</v>
      </c>
      <c r="E36" t="b">
        <v>0</v>
      </c>
      <c r="F36" s="19">
        <v>3700</v>
      </c>
      <c r="G36" s="19">
        <v>1600</v>
      </c>
      <c r="H36" s="19">
        <v>700</v>
      </c>
    </row>
    <row r="37" spans="1:8" x14ac:dyDescent="0.25">
      <c r="B37" t="s">
        <v>144</v>
      </c>
      <c r="C37" s="47" t="s">
        <v>163</v>
      </c>
      <c r="D37" s="19">
        <v>1650</v>
      </c>
      <c r="E37" t="b">
        <v>0</v>
      </c>
      <c r="F37" s="19">
        <v>3700</v>
      </c>
      <c r="G37" s="19">
        <v>1600</v>
      </c>
      <c r="H37" s="19">
        <v>700</v>
      </c>
    </row>
    <row r="38" spans="1:8" x14ac:dyDescent="0.25">
      <c r="B38" t="s">
        <v>145</v>
      </c>
      <c r="C38" s="47" t="s">
        <v>158</v>
      </c>
      <c r="D38" s="19">
        <v>2335</v>
      </c>
      <c r="E38" t="b">
        <v>1</v>
      </c>
      <c r="F38" s="19">
        <v>3700</v>
      </c>
      <c r="G38" s="19">
        <v>1600</v>
      </c>
      <c r="H38" s="19">
        <v>700</v>
      </c>
    </row>
    <row r="39" spans="1:8" x14ac:dyDescent="0.25">
      <c r="B39" t="s">
        <v>146</v>
      </c>
      <c r="C39" s="47" t="s">
        <v>164</v>
      </c>
      <c r="D39" s="19">
        <v>2335</v>
      </c>
      <c r="E39" t="b">
        <v>1</v>
      </c>
      <c r="F39" s="19">
        <v>3700</v>
      </c>
      <c r="G39" s="19">
        <v>1600</v>
      </c>
      <c r="H39" s="19">
        <v>700</v>
      </c>
    </row>
    <row r="40" spans="1:8" x14ac:dyDescent="0.25">
      <c r="B40" t="s">
        <v>147</v>
      </c>
      <c r="C40" s="47" t="s">
        <v>165</v>
      </c>
      <c r="D40" s="19">
        <v>2335</v>
      </c>
      <c r="E40" t="b">
        <v>1</v>
      </c>
      <c r="F40" s="19">
        <v>3700</v>
      </c>
      <c r="G40" s="19">
        <v>1600</v>
      </c>
      <c r="H40" s="19">
        <v>700</v>
      </c>
    </row>
    <row r="41" spans="1:8" x14ac:dyDescent="0.25">
      <c r="B41" t="s">
        <v>148</v>
      </c>
      <c r="C41" s="47" t="s">
        <v>166</v>
      </c>
      <c r="D41" s="19">
        <v>2335</v>
      </c>
      <c r="E41" t="b">
        <v>1</v>
      </c>
      <c r="F41" s="19">
        <v>3700</v>
      </c>
      <c r="G41" s="19">
        <v>1600</v>
      </c>
      <c r="H41" s="19">
        <v>700</v>
      </c>
    </row>
    <row r="42" spans="1:8" x14ac:dyDescent="0.25">
      <c r="B42" t="s">
        <v>149</v>
      </c>
      <c r="C42" s="47" t="s">
        <v>167</v>
      </c>
      <c r="D42" s="19">
        <v>2635</v>
      </c>
      <c r="E42" t="b">
        <v>1</v>
      </c>
      <c r="F42" s="19">
        <v>4000</v>
      </c>
      <c r="G42" s="19">
        <v>1900</v>
      </c>
      <c r="H42" s="19">
        <v>700</v>
      </c>
    </row>
    <row r="43" spans="1:8" x14ac:dyDescent="0.25">
      <c r="B43" t="s">
        <v>150</v>
      </c>
      <c r="C43" s="47" t="s">
        <v>157</v>
      </c>
      <c r="D43" s="19">
        <v>2635</v>
      </c>
      <c r="E43" t="b">
        <v>1</v>
      </c>
      <c r="F43" s="19">
        <v>4000</v>
      </c>
      <c r="G43" s="19">
        <v>1900</v>
      </c>
      <c r="H43" s="19">
        <v>700</v>
      </c>
    </row>
    <row r="44" spans="1:8" x14ac:dyDescent="0.25">
      <c r="B44" t="s">
        <v>151</v>
      </c>
      <c r="C44" s="47" t="s">
        <v>168</v>
      </c>
      <c r="D44" s="19">
        <v>2635</v>
      </c>
      <c r="E44" t="b">
        <v>1</v>
      </c>
      <c r="F44" s="19">
        <v>4000</v>
      </c>
      <c r="G44" s="19">
        <v>1900</v>
      </c>
      <c r="H44" s="19">
        <v>700</v>
      </c>
    </row>
    <row r="45" spans="1:8" x14ac:dyDescent="0.25">
      <c r="B45" t="s">
        <v>152</v>
      </c>
      <c r="C45" s="47" t="s">
        <v>169</v>
      </c>
      <c r="D45" s="19">
        <v>2635</v>
      </c>
      <c r="E45" t="b">
        <v>1</v>
      </c>
      <c r="F45" s="19">
        <v>4000</v>
      </c>
      <c r="G45" s="19">
        <v>1900</v>
      </c>
      <c r="H45" s="19">
        <v>700</v>
      </c>
    </row>
    <row r="48" spans="1:8" x14ac:dyDescent="0.25">
      <c r="A48" s="1" t="s">
        <v>54</v>
      </c>
    </row>
    <row r="49" spans="1:6" x14ac:dyDescent="0.25">
      <c r="A49" s="1"/>
      <c r="B49" t="s">
        <v>278</v>
      </c>
    </row>
    <row r="50" spans="1:6" x14ac:dyDescent="0.25">
      <c r="A50" s="1"/>
      <c r="B50" t="s">
        <v>279</v>
      </c>
    </row>
    <row r="51" spans="1:6" x14ac:dyDescent="0.25">
      <c r="A51" s="1"/>
      <c r="B51" s="25" t="s">
        <v>7</v>
      </c>
      <c r="C51" t="s">
        <v>280</v>
      </c>
    </row>
    <row r="52" spans="1:6" x14ac:dyDescent="0.25">
      <c r="A52" s="1"/>
      <c r="B52" s="25" t="s">
        <v>11</v>
      </c>
      <c r="C52" t="s">
        <v>281</v>
      </c>
    </row>
    <row r="53" spans="1:6" x14ac:dyDescent="0.25">
      <c r="A53" s="1"/>
      <c r="B53" s="25" t="s">
        <v>17</v>
      </c>
      <c r="C53" t="s">
        <v>282</v>
      </c>
    </row>
    <row r="54" spans="1:6" x14ac:dyDescent="0.25">
      <c r="A54" s="1"/>
      <c r="B54" s="25" t="s">
        <v>8</v>
      </c>
      <c r="C54" t="s">
        <v>283</v>
      </c>
    </row>
    <row r="55" spans="1:6" x14ac:dyDescent="0.25">
      <c r="A55" s="1"/>
      <c r="B55" s="25" t="s">
        <v>2</v>
      </c>
      <c r="C55" t="s">
        <v>284</v>
      </c>
    </row>
    <row r="56" spans="1:6" x14ac:dyDescent="0.25">
      <c r="A56" s="1"/>
    </row>
    <row r="57" spans="1:6" x14ac:dyDescent="0.25">
      <c r="A57" s="1"/>
    </row>
    <row r="58" spans="1:6" x14ac:dyDescent="0.25">
      <c r="A58" s="1"/>
      <c r="B58" t="s">
        <v>7</v>
      </c>
      <c r="C58" t="s">
        <v>11</v>
      </c>
      <c r="D58" t="s">
        <v>17</v>
      </c>
      <c r="E58" t="s">
        <v>8</v>
      </c>
      <c r="F58" t="s">
        <v>2</v>
      </c>
    </row>
    <row r="59" spans="1:6" x14ac:dyDescent="0.25">
      <c r="A59" s="1"/>
      <c r="B59" t="s">
        <v>209</v>
      </c>
      <c r="C59" t="s">
        <v>12</v>
      </c>
      <c r="D59" t="s">
        <v>13</v>
      </c>
      <c r="E59">
        <v>6</v>
      </c>
      <c r="F59" t="s">
        <v>14</v>
      </c>
    </row>
    <row r="60" spans="1:6" x14ac:dyDescent="0.25">
      <c r="A60" s="1"/>
      <c r="B60" t="s">
        <v>203</v>
      </c>
      <c r="C60" t="s">
        <v>15</v>
      </c>
      <c r="D60" t="s">
        <v>244</v>
      </c>
      <c r="E60">
        <v>1.5</v>
      </c>
      <c r="F60" t="s">
        <v>16</v>
      </c>
    </row>
    <row r="61" spans="1:6" x14ac:dyDescent="0.25">
      <c r="A61" s="1"/>
      <c r="B61" t="s">
        <v>204</v>
      </c>
      <c r="C61" t="s">
        <v>18</v>
      </c>
      <c r="D61" s="7" t="s">
        <v>21</v>
      </c>
      <c r="E61">
        <v>1</v>
      </c>
      <c r="F61" t="s">
        <v>20</v>
      </c>
    </row>
    <row r="62" spans="1:6" x14ac:dyDescent="0.25">
      <c r="A62" s="1"/>
      <c r="B62" t="s">
        <v>205</v>
      </c>
      <c r="C62" t="s">
        <v>83</v>
      </c>
      <c r="D62" s="7" t="s">
        <v>129</v>
      </c>
      <c r="E62" t="s">
        <v>79</v>
      </c>
    </row>
    <row r="63" spans="1:6" x14ac:dyDescent="0.25">
      <c r="A63" s="1"/>
      <c r="B63" t="s">
        <v>206</v>
      </c>
      <c r="C63" t="s">
        <v>19</v>
      </c>
      <c r="D63" t="s">
        <v>22</v>
      </c>
      <c r="E63">
        <v>24000</v>
      </c>
    </row>
    <row r="64" spans="1:6" x14ac:dyDescent="0.25">
      <c r="A64" s="1"/>
      <c r="B64" t="s">
        <v>207</v>
      </c>
      <c r="C64" t="s">
        <v>23</v>
      </c>
      <c r="D64" t="s">
        <v>22</v>
      </c>
      <c r="E64">
        <v>10</v>
      </c>
    </row>
    <row r="65" spans="1:6" x14ac:dyDescent="0.25">
      <c r="A65" s="1"/>
      <c r="B65" t="s">
        <v>208</v>
      </c>
      <c r="C65" t="s">
        <v>24</v>
      </c>
      <c r="D65" t="s">
        <v>25</v>
      </c>
      <c r="E65" s="8">
        <v>0.3</v>
      </c>
      <c r="F65" t="s">
        <v>26</v>
      </c>
    </row>
    <row r="66" spans="1:6" x14ac:dyDescent="0.25">
      <c r="A66" s="1"/>
      <c r="B66" t="s">
        <v>210</v>
      </c>
      <c r="C66" t="s">
        <v>246</v>
      </c>
      <c r="E66" t="b">
        <v>1</v>
      </c>
    </row>
    <row r="67" spans="1:6" x14ac:dyDescent="0.25">
      <c r="A67" s="1"/>
      <c r="B67" t="s">
        <v>211</v>
      </c>
      <c r="C67" t="s">
        <v>247</v>
      </c>
      <c r="E67" t="s">
        <v>31</v>
      </c>
    </row>
    <row r="68" spans="1:6" x14ac:dyDescent="0.25">
      <c r="B68" t="s">
        <v>212</v>
      </c>
      <c r="C68" t="s">
        <v>33</v>
      </c>
      <c r="D68" t="s">
        <v>34</v>
      </c>
      <c r="E68">
        <v>5</v>
      </c>
    </row>
    <row r="69" spans="1:6" x14ac:dyDescent="0.25">
      <c r="B69" t="s">
        <v>213</v>
      </c>
      <c r="C69" t="s">
        <v>35</v>
      </c>
      <c r="E69">
        <v>16.5</v>
      </c>
    </row>
    <row r="70" spans="1:6" x14ac:dyDescent="0.25">
      <c r="B70" s="15" t="s">
        <v>214</v>
      </c>
      <c r="C70" s="15" t="s">
        <v>39</v>
      </c>
      <c r="D70" s="15" t="s">
        <v>40</v>
      </c>
      <c r="E70" s="15">
        <v>2</v>
      </c>
    </row>
    <row r="71" spans="1:6" x14ac:dyDescent="0.25">
      <c r="B71" s="15" t="s">
        <v>215</v>
      </c>
      <c r="C71" s="15" t="s">
        <v>241</v>
      </c>
      <c r="D71" s="15"/>
      <c r="E71" s="15" t="s">
        <v>243</v>
      </c>
    </row>
    <row r="72" spans="1:6" x14ac:dyDescent="0.25">
      <c r="B72" s="15" t="s">
        <v>216</v>
      </c>
      <c r="C72" s="15" t="s">
        <v>171</v>
      </c>
      <c r="D72" s="15"/>
      <c r="E72" s="15" t="s">
        <v>139</v>
      </c>
      <c r="F72" s="15"/>
    </row>
    <row r="73" spans="1:6" x14ac:dyDescent="0.25">
      <c r="B73" s="15" t="s">
        <v>217</v>
      </c>
      <c r="C73" s="15" t="s">
        <v>173</v>
      </c>
      <c r="D73" s="15" t="s">
        <v>172</v>
      </c>
      <c r="E73" s="15" t="s">
        <v>51</v>
      </c>
      <c r="F73" s="15"/>
    </row>
    <row r="74" spans="1:6" x14ac:dyDescent="0.25">
      <c r="B74" s="15" t="s">
        <v>222</v>
      </c>
      <c r="C74" s="15" t="s">
        <v>250</v>
      </c>
      <c r="D74" s="15" t="s">
        <v>52</v>
      </c>
      <c r="E74" s="15">
        <v>2</v>
      </c>
      <c r="F74" s="15"/>
    </row>
    <row r="75" spans="1:6" x14ac:dyDescent="0.25">
      <c r="B75" s="15" t="s">
        <v>218</v>
      </c>
      <c r="C75" s="15" t="s">
        <v>200</v>
      </c>
      <c r="D75" s="15"/>
      <c r="E75" s="15">
        <v>1</v>
      </c>
      <c r="F75" s="15"/>
    </row>
    <row r="76" spans="1:6" x14ac:dyDescent="0.25">
      <c r="B76" s="15" t="s">
        <v>219</v>
      </c>
      <c r="C76" s="15" t="s">
        <v>248</v>
      </c>
      <c r="D76" s="15"/>
      <c r="E76" s="15">
        <v>6</v>
      </c>
      <c r="F76" s="15"/>
    </row>
    <row r="77" spans="1:6" x14ac:dyDescent="0.25">
      <c r="B77" t="s">
        <v>220</v>
      </c>
      <c r="C77" t="s">
        <v>179</v>
      </c>
    </row>
    <row r="78" spans="1:6" x14ac:dyDescent="0.25">
      <c r="B78" t="s">
        <v>221</v>
      </c>
      <c r="C78" t="s">
        <v>249</v>
      </c>
      <c r="D78" t="s">
        <v>237</v>
      </c>
      <c r="E78">
        <v>1</v>
      </c>
    </row>
    <row r="79" spans="1:6" x14ac:dyDescent="0.25">
      <c r="B79" t="s">
        <v>308</v>
      </c>
      <c r="D79" t="s">
        <v>310</v>
      </c>
      <c r="F79" t="s">
        <v>309</v>
      </c>
    </row>
    <row r="82" spans="1:2" x14ac:dyDescent="0.25">
      <c r="A82" s="1" t="s">
        <v>28</v>
      </c>
    </row>
    <row r="83" spans="1:2" x14ac:dyDescent="0.25">
      <c r="A83" s="1"/>
      <c r="B83" t="s">
        <v>285</v>
      </c>
    </row>
    <row r="84" spans="1:2" x14ac:dyDescent="0.25">
      <c r="A84" s="1"/>
    </row>
    <row r="85" spans="1:2" x14ac:dyDescent="0.25">
      <c r="B85" s="1" t="s">
        <v>29</v>
      </c>
    </row>
    <row r="86" spans="1:2" x14ac:dyDescent="0.25">
      <c r="B86" t="s">
        <v>32</v>
      </c>
    </row>
    <row r="87" spans="1:2" x14ac:dyDescent="0.25">
      <c r="B87" t="s">
        <v>30</v>
      </c>
    </row>
    <row r="88" spans="1:2" x14ac:dyDescent="0.25">
      <c r="B88" t="s">
        <v>31</v>
      </c>
    </row>
    <row r="91" spans="1:2" x14ac:dyDescent="0.25">
      <c r="B91" s="1" t="s">
        <v>48</v>
      </c>
    </row>
    <row r="92" spans="1:2" x14ac:dyDescent="0.25">
      <c r="B92" t="s">
        <v>49</v>
      </c>
    </row>
    <row r="93" spans="1:2" x14ac:dyDescent="0.25">
      <c r="B93" t="s">
        <v>50</v>
      </c>
    </row>
    <row r="94" spans="1:2" x14ac:dyDescent="0.25">
      <c r="B94" t="s">
        <v>51</v>
      </c>
    </row>
    <row r="97" spans="2:3" x14ac:dyDescent="0.25">
      <c r="B97" s="1" t="s">
        <v>78</v>
      </c>
    </row>
    <row r="98" spans="2:3" x14ac:dyDescent="0.25">
      <c r="B98" t="s">
        <v>70</v>
      </c>
    </row>
    <row r="99" spans="2:3" x14ac:dyDescent="0.25">
      <c r="B99" t="s">
        <v>79</v>
      </c>
    </row>
    <row r="100" spans="2:3" x14ac:dyDescent="0.25">
      <c r="B100" t="s">
        <v>72</v>
      </c>
    </row>
    <row r="102" spans="2:3" x14ac:dyDescent="0.25">
      <c r="B102" s="1" t="s">
        <v>201</v>
      </c>
    </row>
    <row r="103" spans="2:3" x14ac:dyDescent="0.25">
      <c r="B103" t="s">
        <v>202</v>
      </c>
    </row>
    <row r="104" spans="2:3" x14ac:dyDescent="0.25">
      <c r="B104">
        <v>1</v>
      </c>
    </row>
    <row r="105" spans="2:3" x14ac:dyDescent="0.25">
      <c r="B105">
        <v>2</v>
      </c>
    </row>
    <row r="107" spans="2:3" x14ac:dyDescent="0.25">
      <c r="B107" s="1" t="s">
        <v>133</v>
      </c>
    </row>
    <row r="108" spans="2:3" x14ac:dyDescent="0.25">
      <c r="B108" s="53" t="s">
        <v>286</v>
      </c>
    </row>
    <row r="109" spans="2:3" x14ac:dyDescent="0.25">
      <c r="B109" s="80" t="s">
        <v>134</v>
      </c>
      <c r="C109" t="s">
        <v>288</v>
      </c>
    </row>
    <row r="110" spans="2:3" x14ac:dyDescent="0.25">
      <c r="B110" s="80" t="s">
        <v>180</v>
      </c>
      <c r="C110" t="s">
        <v>289</v>
      </c>
    </row>
    <row r="111" spans="2:3" x14ac:dyDescent="0.25">
      <c r="B111" s="80" t="s">
        <v>287</v>
      </c>
      <c r="C111" t="s">
        <v>290</v>
      </c>
    </row>
    <row r="112" spans="2:3" x14ac:dyDescent="0.25">
      <c r="B112" s="80" t="s">
        <v>178</v>
      </c>
      <c r="C112" t="s">
        <v>291</v>
      </c>
    </row>
    <row r="113" spans="1:6" x14ac:dyDescent="0.25">
      <c r="B113" s="80" t="s">
        <v>181</v>
      </c>
      <c r="C113" t="s">
        <v>292</v>
      </c>
    </row>
    <row r="114" spans="1:6" x14ac:dyDescent="0.25">
      <c r="B114" s="1"/>
    </row>
    <row r="115" spans="1:6" x14ac:dyDescent="0.25">
      <c r="B115" s="1" t="s">
        <v>134</v>
      </c>
      <c r="C115" t="s">
        <v>180</v>
      </c>
      <c r="D115" t="s">
        <v>136</v>
      </c>
      <c r="E115" t="s">
        <v>178</v>
      </c>
      <c r="F115" t="s">
        <v>181</v>
      </c>
    </row>
    <row r="116" spans="1:6" x14ac:dyDescent="0.25">
      <c r="B116" t="s">
        <v>243</v>
      </c>
      <c r="C116" t="b">
        <v>1</v>
      </c>
      <c r="D116">
        <v>2</v>
      </c>
      <c r="E116" s="8">
        <v>0</v>
      </c>
      <c r="F116" t="str">
        <f>IF(tbl_cryo_options[[#This Row],[Allow User Selection]],tbl_cryo_options[[#This Row],[Option]],"")</f>
        <v>Standard</v>
      </c>
    </row>
    <row r="117" spans="1:6" x14ac:dyDescent="0.25">
      <c r="B117" t="s">
        <v>242</v>
      </c>
      <c r="C117" t="b">
        <v>1</v>
      </c>
      <c r="D117">
        <v>2</v>
      </c>
      <c r="E117" s="8">
        <v>0.2</v>
      </c>
      <c r="F117" t="str">
        <f>IF(tbl_cryo_options[[#This Row],[Allow User Selection]],tbl_cryo_options[[#This Row],[Option]],"")</f>
        <v>EZ Frz Express</v>
      </c>
    </row>
    <row r="118" spans="1:6" x14ac:dyDescent="0.25">
      <c r="B118" t="s">
        <v>135</v>
      </c>
      <c r="C118" t="b">
        <v>1</v>
      </c>
      <c r="D118">
        <v>2</v>
      </c>
      <c r="E118" s="8">
        <v>0.15</v>
      </c>
      <c r="F118" t="str">
        <f>IF(tbl_cryo_options[[#This Row],[Allow User Selection]],tbl_cryo_options[[#This Row],[Option]],"")</f>
        <v>Freeze Team</v>
      </c>
    </row>
    <row r="123" spans="1:6" x14ac:dyDescent="0.25">
      <c r="A123" s="1" t="s">
        <v>80</v>
      </c>
    </row>
    <row r="124" spans="1:6" x14ac:dyDescent="0.25">
      <c r="B124" t="s">
        <v>293</v>
      </c>
    </row>
    <row r="125" spans="1:6" x14ac:dyDescent="0.25">
      <c r="B125" t="s">
        <v>294</v>
      </c>
    </row>
    <row r="126" spans="1:6" x14ac:dyDescent="0.25">
      <c r="B126" t="s">
        <v>295</v>
      </c>
    </row>
    <row r="127" spans="1:6" x14ac:dyDescent="0.25">
      <c r="B127" t="s">
        <v>296</v>
      </c>
    </row>
    <row r="130" spans="1:2" x14ac:dyDescent="0.25">
      <c r="A130" s="1" t="s">
        <v>262</v>
      </c>
    </row>
    <row r="131" spans="1:2" x14ac:dyDescent="0.25">
      <c r="B131" s="75" t="s">
        <v>263</v>
      </c>
    </row>
    <row r="132" spans="1:2" x14ac:dyDescent="0.25">
      <c r="B132" t="s">
        <v>264</v>
      </c>
    </row>
    <row r="133" spans="1:2" x14ac:dyDescent="0.25">
      <c r="B133" t="s">
        <v>265</v>
      </c>
    </row>
    <row r="134" spans="1:2" x14ac:dyDescent="0.25">
      <c r="B134" s="16" t="s">
        <v>266</v>
      </c>
    </row>
    <row r="135" spans="1:2" x14ac:dyDescent="0.25">
      <c r="B135" t="s">
        <v>267</v>
      </c>
    </row>
  </sheetData>
  <dataValidations count="6">
    <dataValidation type="list" allowBlank="1" showInputMessage="1" showErrorMessage="1" sqref="E73">
      <formula1>dd_yn</formula1>
    </dataValidation>
    <dataValidation type="list" allowBlank="1" showInputMessage="1" showErrorMessage="1" sqref="E67">
      <formula1>dd_gt_who</formula1>
    </dataValidation>
    <dataValidation type="list" allowBlank="1" showInputMessage="1" showErrorMessage="1" sqref="E62">
      <formula1>dd_l_rate</formula1>
    </dataValidation>
    <dataValidation type="list" allowBlank="1" showInputMessage="1" showErrorMessage="1" sqref="E32:E45 C116:C118">
      <formula1>"TRUE,FALSE"</formula1>
    </dataValidation>
    <dataValidation type="list" allowBlank="1" showInputMessage="1" showErrorMessage="1" sqref="E71">
      <formula1>dd_cryo_options</formula1>
    </dataValidation>
    <dataValidation type="list" allowBlank="1" showInputMessage="1" showErrorMessage="1" sqref="E75">
      <formula1>dd_num_breeders</formula1>
    </dataValidation>
  </dataValidations>
  <hyperlinks>
    <hyperlink ref="B134" r:id="rId1"/>
  </hyperlinks>
  <pageMargins left="0.7" right="0.7" top="0.75" bottom="0.75" header="0.3" footer="0.3"/>
  <pageSetup orientation="portrait" verticalDpi="0"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RowHeight="13.2" x14ac:dyDescent="0.25"/>
  <sheetData>
    <row r="1" spans="1:8" ht="24" thickBot="1" x14ac:dyDescent="0.5">
      <c r="A1" s="2" t="s">
        <v>229</v>
      </c>
      <c r="B1" s="3"/>
      <c r="C1" s="3"/>
      <c r="D1" s="3"/>
      <c r="E1" s="3"/>
      <c r="F1" s="3"/>
      <c r="G1" s="3"/>
      <c r="H1" s="3"/>
    </row>
    <row r="2" spans="1:8" ht="18" x14ac:dyDescent="0.35">
      <c r="A2" s="4" t="str">
        <f>co_name</f>
        <v>JAX® Mice and Services</v>
      </c>
    </row>
    <row r="4" spans="1:8" x14ac:dyDescent="0.25">
      <c r="A4" s="1" t="s">
        <v>1</v>
      </c>
      <c r="B4" t="s">
        <v>230</v>
      </c>
    </row>
    <row r="7" spans="1:8" x14ac:dyDescent="0.25">
      <c r="A7" s="1" t="s">
        <v>229</v>
      </c>
    </row>
    <row r="8" spans="1:8" x14ac:dyDescent="0.25">
      <c r="B8" s="1" t="s">
        <v>231</v>
      </c>
    </row>
    <row r="9" spans="1:8" x14ac:dyDescent="0.25">
      <c r="B9" t="str">
        <f>IF(tot_svg&gt;=0,CONCATENATE("Cumulative 3 Year Savings: ",DOLLAR(tot_svg,0)),CONCATENATE("Cumulative 3 Year Incremental Cost: ",-DOLLAR(tot_svg,0)))</f>
        <v>Cumulative 3 Year Savings: $9,828</v>
      </c>
    </row>
    <row r="10" spans="1:8" x14ac:dyDescent="0.25">
      <c r="B10" t="str">
        <f>IF(tot_svg&gt;=0,CONCATENATE("Cumulative 3 Year Savings: ",DOLLAR(tot_svg,0)," ("&amp;TEXT(cht_svg_pct,"##%")&amp;")"),CONCATENATE("Cumulative 3 Year Incremental Cost: ",-DOLLAR(tot_svg,0)," ("&amp;TEXT(cht_svg_pct,"##%")&amp;")"))</f>
        <v>Cumulative 3 Year Savings: $9,828 (66%)</v>
      </c>
    </row>
    <row r="11" spans="1:8" x14ac:dyDescent="0.25">
      <c r="B11" t="str">
        <f>CONCATENATE("Cryo is ",TEXT(cht_pct,"#%")," of live colony costs")</f>
        <v>Cryo is 34% of live colony costs</v>
      </c>
    </row>
    <row r="13" spans="1:8" x14ac:dyDescent="0.25">
      <c r="B13" s="1" t="s">
        <v>192</v>
      </c>
      <c r="F13" s="5" t="s">
        <v>62</v>
      </c>
      <c r="G13" s="5" t="s">
        <v>63</v>
      </c>
      <c r="H13" s="5" t="s">
        <v>64</v>
      </c>
    </row>
    <row r="14" spans="1:8" x14ac:dyDescent="0.25">
      <c r="B14" t="s">
        <v>193</v>
      </c>
      <c r="F14" s="19">
        <f>ROUND(Tables!F8,0)</f>
        <v>4951</v>
      </c>
      <c r="G14" s="19">
        <f>ROUND(Tables!G8,0)</f>
        <v>4951</v>
      </c>
      <c r="H14" s="19">
        <f>ROUND(Tables!H8,0)</f>
        <v>4951</v>
      </c>
    </row>
    <row r="15" spans="1:8" x14ac:dyDescent="0.25">
      <c r="B15" t="s">
        <v>194</v>
      </c>
      <c r="F15" s="19">
        <f>-ROUND(Tables!F9,0)</f>
        <v>-1825</v>
      </c>
      <c r="G15" s="19">
        <f>-ROUND(Tables!G9,0)</f>
        <v>-1600</v>
      </c>
      <c r="H15" s="19">
        <f>-ROUND(Tables!H9,0)</f>
        <v>-1600</v>
      </c>
    </row>
    <row r="16" spans="1:8" x14ac:dyDescent="0.25">
      <c r="B16" t="s">
        <v>195</v>
      </c>
      <c r="F16" s="19">
        <f>F14+F15</f>
        <v>3126</v>
      </c>
      <c r="G16" s="19">
        <f>G14+G15</f>
        <v>3351</v>
      </c>
      <c r="H16" s="19">
        <f>H14+H15</f>
        <v>3351</v>
      </c>
    </row>
    <row r="17" spans="2:8" x14ac:dyDescent="0.25">
      <c r="B17" t="s">
        <v>196</v>
      </c>
      <c r="F17" s="19">
        <f>E17+F16</f>
        <v>3126</v>
      </c>
      <c r="G17" s="19">
        <f>F17+G16</f>
        <v>6477</v>
      </c>
      <c r="H17" s="19">
        <f>G17+H16</f>
        <v>9828</v>
      </c>
    </row>
    <row r="18" spans="2:8" x14ac:dyDescent="0.25">
      <c r="B18" t="s">
        <v>197</v>
      </c>
      <c r="F18" s="19">
        <v>0</v>
      </c>
      <c r="G18" s="19">
        <v>0</v>
      </c>
      <c r="H18" s="19">
        <v>0</v>
      </c>
    </row>
    <row r="19" spans="2:8" x14ac:dyDescent="0.25">
      <c r="B19" t="s">
        <v>198</v>
      </c>
      <c r="F19" s="18" t="str">
        <f>IF(F17&gt;=0,"X","")</f>
        <v>X</v>
      </c>
      <c r="G19" s="18" t="str">
        <f>IF(AND(F17&lt;0,G17&gt;=0),"X","")</f>
        <v/>
      </c>
      <c r="H19" s="18" t="str">
        <f>IF(AND(G17&lt;0,H17&gt;=0),"X","")</f>
        <v/>
      </c>
    </row>
    <row r="20" spans="2:8" x14ac:dyDescent="0.25">
      <c r="B20" t="str">
        <f>IFERROR(CHOOSE(MATCH("X",F19:H19,0),"Immediate payback, all costs recuperated within first year","Payback occurs by end of: Year 2","Payback occurs by end of: Year 3"),"Payback does not occur within this model")</f>
        <v>Immediate payback, all costs recuperated within first year</v>
      </c>
    </row>
    <row r="21" spans="2:8" x14ac:dyDescent="0.25">
      <c r="B21" t="s">
        <v>299</v>
      </c>
    </row>
    <row r="22" spans="2:8" x14ac:dyDescent="0.25">
      <c r="C22" t="s">
        <v>300</v>
      </c>
      <c r="E22" t="s">
        <v>301</v>
      </c>
    </row>
    <row r="23" spans="2:8" x14ac:dyDescent="0.25">
      <c r="D23" t="s">
        <v>302</v>
      </c>
    </row>
    <row r="24" spans="2:8" x14ac:dyDescent="0.25">
      <c r="D24" t="s">
        <v>303</v>
      </c>
    </row>
    <row r="25" spans="2:8" x14ac:dyDescent="0.25">
      <c r="D25" t="s">
        <v>307</v>
      </c>
    </row>
    <row r="27" spans="2:8" x14ac:dyDescent="0.25">
      <c r="D27" t="s">
        <v>305</v>
      </c>
      <c r="E27">
        <f>MATCH("X",F19:H19,0)-1</f>
        <v>0</v>
      </c>
    </row>
    <row r="28" spans="2:8" x14ac:dyDescent="0.25">
      <c r="D28" t="s">
        <v>306</v>
      </c>
      <c r="E28" s="19">
        <f>IFERROR(-INDEX(F17:H17,,MATCH("X",F19:H19,0)-1),0)</f>
        <v>0</v>
      </c>
    </row>
    <row r="29" spans="2:8" x14ac:dyDescent="0.25">
      <c r="D29" t="s">
        <v>115</v>
      </c>
      <c r="E29" s="19">
        <f>INDEX(F16:H16,,MATCH("X",F19:H19,0))</f>
        <v>3126</v>
      </c>
    </row>
    <row r="31" spans="2:8" x14ac:dyDescent="0.25">
      <c r="C31" t="s">
        <v>192</v>
      </c>
      <c r="E31" s="97">
        <f>IF(E27=0,-INDEX(F15:H15,MATCH("X",F19:H19,0))/INDEX(F14:H14,MATCH("X",F19:H19,0)),ROUND(E27+E28/E29,2))</f>
        <v>0.36861240153504343</v>
      </c>
      <c r="F31" t="s">
        <v>304</v>
      </c>
    </row>
    <row r="35" spans="2:9" x14ac:dyDescent="0.25">
      <c r="B35" s="1" t="s">
        <v>223</v>
      </c>
      <c r="F35" s="5" t="s">
        <v>62</v>
      </c>
      <c r="G35" s="5" t="s">
        <v>63</v>
      </c>
      <c r="H35" s="5" t="s">
        <v>64</v>
      </c>
      <c r="I35" s="24" t="s">
        <v>226</v>
      </c>
    </row>
    <row r="36" spans="2:9" x14ac:dyDescent="0.25">
      <c r="B36" s="53" t="s">
        <v>224</v>
      </c>
      <c r="F36" s="19">
        <f>ROUND(Tables!F8,0)</f>
        <v>4951</v>
      </c>
      <c r="G36" s="19">
        <f>Tables!G8</f>
        <v>4951</v>
      </c>
      <c r="H36" s="19">
        <f>Tables!H8</f>
        <v>4951</v>
      </c>
    </row>
    <row r="37" spans="2:9" x14ac:dyDescent="0.25">
      <c r="B37" t="s">
        <v>224</v>
      </c>
      <c r="F37" s="19">
        <f>SUM($F36:F36)</f>
        <v>4951</v>
      </c>
      <c r="G37" s="19">
        <f>SUM($F36:G36)</f>
        <v>9902</v>
      </c>
      <c r="H37" s="19">
        <f>SUM($F36:H36)</f>
        <v>14853</v>
      </c>
    </row>
    <row r="38" spans="2:9" x14ac:dyDescent="0.25">
      <c r="B38" t="s">
        <v>225</v>
      </c>
      <c r="F38" s="19">
        <f>ROUND(Tables!F9,0)</f>
        <v>1825</v>
      </c>
      <c r="G38" s="19">
        <f>ROUND(Tables!G9,0)</f>
        <v>1600</v>
      </c>
      <c r="H38" s="19">
        <f>ROUND(Tables!H9,0)</f>
        <v>1600</v>
      </c>
      <c r="I38" s="19">
        <f>MAX(SUM(F36:H36)-SUM(F38:H38),0)</f>
        <v>9828</v>
      </c>
    </row>
    <row r="39" spans="2:9" x14ac:dyDescent="0.25">
      <c r="B39" t="s">
        <v>225</v>
      </c>
      <c r="F39" s="19">
        <f>SUM($F38:F38)</f>
        <v>1825</v>
      </c>
      <c r="G39" s="19">
        <f>SUM($F38:G38)</f>
        <v>3425</v>
      </c>
      <c r="H39" s="19">
        <f>SUM($F38:H38)</f>
        <v>5025</v>
      </c>
    </row>
    <row r="40" spans="2:9" x14ac:dyDescent="0.25">
      <c r="B40" t="s">
        <v>227</v>
      </c>
      <c r="H40" s="8">
        <f>H39/H37</f>
        <v>0.33831549181983439</v>
      </c>
    </row>
    <row r="41" spans="2:9" x14ac:dyDescent="0.25">
      <c r="B41" t="s">
        <v>228</v>
      </c>
      <c r="H41" s="8">
        <f>I38/H37</f>
        <v>0.66168450818016566</v>
      </c>
    </row>
    <row r="43" spans="2:9" x14ac:dyDescent="0.25">
      <c r="B43" s="1" t="s">
        <v>227</v>
      </c>
      <c r="F43" s="5" t="s">
        <v>99</v>
      </c>
    </row>
    <row r="44" spans="2:9" x14ac:dyDescent="0.25">
      <c r="B44" t="s">
        <v>225</v>
      </c>
      <c r="F44" s="19">
        <f>H39</f>
        <v>5025</v>
      </c>
      <c r="G44" s="19"/>
      <c r="H44" s="19"/>
    </row>
    <row r="45" spans="2:9" x14ac:dyDescent="0.25">
      <c r="B45" t="s">
        <v>226</v>
      </c>
      <c r="F45" s="19">
        <f>F46-F44</f>
        <v>9828</v>
      </c>
    </row>
    <row r="46" spans="2:9" x14ac:dyDescent="0.25">
      <c r="B46" t="s">
        <v>224</v>
      </c>
      <c r="F46" s="19">
        <f>H37</f>
        <v>14853</v>
      </c>
    </row>
    <row r="48" spans="2:9" x14ac:dyDescent="0.25">
      <c r="B48" s="1" t="s">
        <v>232</v>
      </c>
      <c r="F48" s="1" t="s">
        <v>234</v>
      </c>
      <c r="G48" s="1" t="s">
        <v>235</v>
      </c>
    </row>
    <row r="49" spans="2:7" x14ac:dyDescent="0.25">
      <c r="B49" t="s">
        <v>233</v>
      </c>
      <c r="F49" s="19">
        <f>F46</f>
        <v>14853</v>
      </c>
      <c r="G49" s="19">
        <f>F44</f>
        <v>5025</v>
      </c>
    </row>
    <row r="50" spans="2:7" x14ac:dyDescent="0.25">
      <c r="B50" t="s">
        <v>226</v>
      </c>
      <c r="G50" s="19">
        <f>F45</f>
        <v>9828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M47" sqref="M47"/>
    </sheetView>
  </sheetViews>
  <sheetFormatPr defaultRowHeight="13.2" x14ac:dyDescent="0.25"/>
  <sheetData>
    <row r="1" spans="1:9" ht="24" thickBot="1" x14ac:dyDescent="0.5">
      <c r="A1" s="2" t="s">
        <v>4</v>
      </c>
      <c r="B1" s="3"/>
      <c r="C1" s="3"/>
      <c r="D1" s="3"/>
      <c r="E1" s="3"/>
      <c r="F1" s="3"/>
      <c r="G1" s="3"/>
      <c r="H1" s="3"/>
      <c r="I1" s="3"/>
    </row>
    <row r="2" spans="1:9" ht="18" x14ac:dyDescent="0.35">
      <c r="A2" s="4" t="str">
        <f>co_name</f>
        <v>JAX® Mice and Services</v>
      </c>
    </row>
    <row r="4" spans="1:9" x14ac:dyDescent="0.25">
      <c r="A4" s="1" t="s">
        <v>1</v>
      </c>
      <c r="B4" t="s">
        <v>5</v>
      </c>
    </row>
    <row r="6" spans="1:9" x14ac:dyDescent="0.25">
      <c r="A6" s="1" t="s">
        <v>6</v>
      </c>
    </row>
    <row r="7" spans="1:9" x14ac:dyDescent="0.25">
      <c r="B7" s="5" t="s">
        <v>41</v>
      </c>
      <c r="C7" s="5" t="s">
        <v>111</v>
      </c>
      <c r="D7" s="5" t="s">
        <v>42</v>
      </c>
      <c r="E7" s="5" t="s">
        <v>43</v>
      </c>
    </row>
    <row r="8" spans="1:9" x14ac:dyDescent="0.25">
      <c r="B8">
        <v>1</v>
      </c>
      <c r="C8" s="34">
        <v>40548</v>
      </c>
      <c r="D8" t="s">
        <v>110</v>
      </c>
      <c r="E8" t="s">
        <v>44</v>
      </c>
    </row>
    <row r="9" spans="1:9" x14ac:dyDescent="0.25">
      <c r="B9">
        <v>1</v>
      </c>
      <c r="C9" s="34">
        <v>40548</v>
      </c>
      <c r="D9" t="s">
        <v>110</v>
      </c>
      <c r="E9" t="s">
        <v>45</v>
      </c>
    </row>
    <row r="10" spans="1:9" x14ac:dyDescent="0.25">
      <c r="B10">
        <v>1</v>
      </c>
      <c r="C10" s="34">
        <v>40553</v>
      </c>
      <c r="D10" t="s">
        <v>110</v>
      </c>
      <c r="E10" t="s">
        <v>46</v>
      </c>
    </row>
    <row r="11" spans="1:9" x14ac:dyDescent="0.25">
      <c r="B11">
        <v>1</v>
      </c>
      <c r="C11" s="34">
        <v>40548</v>
      </c>
      <c r="D11" t="s">
        <v>110</v>
      </c>
      <c r="E11" t="s">
        <v>53</v>
      </c>
    </row>
    <row r="12" spans="1:9" x14ac:dyDescent="0.25">
      <c r="B12">
        <v>1</v>
      </c>
      <c r="C12" s="34">
        <v>40576</v>
      </c>
      <c r="D12" t="s">
        <v>110</v>
      </c>
      <c r="E12" t="s">
        <v>128</v>
      </c>
    </row>
    <row r="13" spans="1:9" x14ac:dyDescent="0.25">
      <c r="B13">
        <v>1</v>
      </c>
      <c r="C13" s="34">
        <v>40553</v>
      </c>
      <c r="D13" t="s">
        <v>110</v>
      </c>
      <c r="E13" t="s">
        <v>101</v>
      </c>
    </row>
    <row r="14" spans="1:9" x14ac:dyDescent="0.25">
      <c r="B14">
        <v>1</v>
      </c>
      <c r="C14" s="34">
        <v>40581</v>
      </c>
      <c r="D14" t="s">
        <v>110</v>
      </c>
      <c r="E14" t="s">
        <v>312</v>
      </c>
    </row>
    <row r="15" spans="1:9" x14ac:dyDescent="0.25">
      <c r="B15">
        <v>1</v>
      </c>
      <c r="C15" s="34">
        <v>40578</v>
      </c>
      <c r="D15" t="s">
        <v>110</v>
      </c>
      <c r="E15" t="s">
        <v>297</v>
      </c>
    </row>
    <row r="16" spans="1:9" x14ac:dyDescent="0.25">
      <c r="B16">
        <v>1</v>
      </c>
      <c r="C16" s="34">
        <v>40581</v>
      </c>
      <c r="D16" t="s">
        <v>238</v>
      </c>
      <c r="E16" t="s">
        <v>298</v>
      </c>
    </row>
    <row r="17" spans="2:5" x14ac:dyDescent="0.25">
      <c r="B17">
        <v>1</v>
      </c>
      <c r="C17" s="34">
        <v>40578</v>
      </c>
      <c r="D17" t="s">
        <v>110</v>
      </c>
      <c r="E17" t="s">
        <v>313</v>
      </c>
    </row>
    <row r="18" spans="2:5" x14ac:dyDescent="0.25">
      <c r="B18">
        <v>2</v>
      </c>
      <c r="C18" s="34">
        <v>41045</v>
      </c>
      <c r="D18" t="s">
        <v>238</v>
      </c>
      <c r="E18" t="s">
        <v>314</v>
      </c>
    </row>
    <row r="19" spans="2:5" x14ac:dyDescent="0.25">
      <c r="B19">
        <v>2</v>
      </c>
      <c r="C19" s="34">
        <v>41045</v>
      </c>
      <c r="D19" t="s">
        <v>238</v>
      </c>
      <c r="E19" t="s">
        <v>315</v>
      </c>
    </row>
    <row r="20" spans="2:5" x14ac:dyDescent="0.25">
      <c r="B20">
        <v>2</v>
      </c>
      <c r="C20" s="34">
        <v>41045</v>
      </c>
      <c r="D20" t="s">
        <v>238</v>
      </c>
      <c r="E20" t="s">
        <v>316</v>
      </c>
    </row>
    <row r="21" spans="2:5" x14ac:dyDescent="0.25">
      <c r="B21">
        <v>2</v>
      </c>
      <c r="C21" s="34">
        <v>41045</v>
      </c>
      <c r="D21" t="s">
        <v>238</v>
      </c>
    </row>
    <row r="22" spans="2:5" x14ac:dyDescent="0.25">
      <c r="B22">
        <v>2</v>
      </c>
      <c r="C22" s="34">
        <v>41045</v>
      </c>
      <c r="D22" t="s">
        <v>238</v>
      </c>
    </row>
    <row r="23" spans="2:5" x14ac:dyDescent="0.25">
      <c r="B23">
        <v>2</v>
      </c>
      <c r="C23" s="34">
        <v>41045</v>
      </c>
      <c r="D23" t="s">
        <v>238</v>
      </c>
    </row>
    <row r="24" spans="2:5" x14ac:dyDescent="0.25">
      <c r="B24">
        <v>2</v>
      </c>
      <c r="C24" s="34">
        <v>41045</v>
      </c>
      <c r="D24" t="s">
        <v>238</v>
      </c>
    </row>
    <row r="25" spans="2:5" x14ac:dyDescent="0.25">
      <c r="B25">
        <v>2</v>
      </c>
      <c r="C25" s="34">
        <v>41045</v>
      </c>
      <c r="D25" t="s">
        <v>238</v>
      </c>
    </row>
    <row r="26" spans="2:5" x14ac:dyDescent="0.25">
      <c r="B26">
        <v>2</v>
      </c>
      <c r="C26" s="34">
        <v>41045</v>
      </c>
      <c r="D26" t="s">
        <v>238</v>
      </c>
    </row>
    <row r="27" spans="2:5" x14ac:dyDescent="0.25">
      <c r="B27">
        <v>2</v>
      </c>
      <c r="C27" s="34">
        <v>41045</v>
      </c>
      <c r="D27" t="s">
        <v>238</v>
      </c>
    </row>
    <row r="28" spans="2:5" x14ac:dyDescent="0.25">
      <c r="B28">
        <v>2</v>
      </c>
      <c r="C28" s="34">
        <v>41045</v>
      </c>
      <c r="D28" t="s">
        <v>238</v>
      </c>
    </row>
    <row r="29" spans="2:5" x14ac:dyDescent="0.25">
      <c r="B29">
        <v>2</v>
      </c>
      <c r="C29" s="34">
        <v>41045</v>
      </c>
      <c r="D29" t="s">
        <v>238</v>
      </c>
    </row>
    <row r="30" spans="2:5" x14ac:dyDescent="0.25">
      <c r="B30">
        <v>2</v>
      </c>
      <c r="C30" s="34">
        <v>41045</v>
      </c>
      <c r="D30" t="s">
        <v>238</v>
      </c>
    </row>
    <row r="31" spans="2:5" x14ac:dyDescent="0.25">
      <c r="B31">
        <v>2</v>
      </c>
      <c r="C31" s="34">
        <v>41045</v>
      </c>
      <c r="D31" t="s">
        <v>238</v>
      </c>
    </row>
    <row r="32" spans="2:5" x14ac:dyDescent="0.25">
      <c r="B32">
        <v>2</v>
      </c>
      <c r="C32" s="34">
        <v>41045</v>
      </c>
      <c r="D32" t="s">
        <v>238</v>
      </c>
    </row>
    <row r="33" spans="2:4" x14ac:dyDescent="0.25">
      <c r="B33">
        <v>2</v>
      </c>
      <c r="C33" s="34">
        <v>41045</v>
      </c>
      <c r="D33" t="s">
        <v>238</v>
      </c>
    </row>
    <row r="34" spans="2:4" x14ac:dyDescent="0.25">
      <c r="B34">
        <v>2</v>
      </c>
      <c r="C34" s="34">
        <v>41045</v>
      </c>
      <c r="D34" t="s">
        <v>238</v>
      </c>
    </row>
    <row r="35" spans="2:4" x14ac:dyDescent="0.25">
      <c r="B35">
        <v>2</v>
      </c>
      <c r="C35" s="34">
        <v>41045</v>
      </c>
      <c r="D35" t="s">
        <v>238</v>
      </c>
    </row>
    <row r="36" spans="2:4" x14ac:dyDescent="0.25">
      <c r="B36">
        <v>2</v>
      </c>
      <c r="C36" s="34">
        <v>41045</v>
      </c>
      <c r="D36" t="s">
        <v>238</v>
      </c>
    </row>
    <row r="37" spans="2:4" x14ac:dyDescent="0.25">
      <c r="B37">
        <v>2</v>
      </c>
      <c r="C37" s="34">
        <v>41045</v>
      </c>
      <c r="D37" t="s">
        <v>238</v>
      </c>
    </row>
    <row r="38" spans="2:4" x14ac:dyDescent="0.25">
      <c r="B38">
        <v>2</v>
      </c>
      <c r="C38" s="34">
        <v>41045</v>
      </c>
      <c r="D38" t="s">
        <v>238</v>
      </c>
    </row>
    <row r="39" spans="2:4" x14ac:dyDescent="0.25">
      <c r="B39">
        <v>2</v>
      </c>
      <c r="C39" s="34">
        <v>41045</v>
      </c>
      <c r="D39" t="s">
        <v>238</v>
      </c>
    </row>
    <row r="40" spans="2:4" x14ac:dyDescent="0.25">
      <c r="B40">
        <v>2</v>
      </c>
      <c r="C40" s="34">
        <v>41045</v>
      </c>
      <c r="D40" t="s">
        <v>238</v>
      </c>
    </row>
    <row r="41" spans="2:4" x14ac:dyDescent="0.25">
      <c r="B41">
        <v>2</v>
      </c>
      <c r="C41" s="34">
        <v>41045</v>
      </c>
      <c r="D41" t="s">
        <v>238</v>
      </c>
    </row>
    <row r="42" spans="2:4" x14ac:dyDescent="0.25">
      <c r="B42">
        <v>2</v>
      </c>
      <c r="C42" s="34">
        <v>41045</v>
      </c>
      <c r="D42" t="s">
        <v>238</v>
      </c>
    </row>
    <row r="43" spans="2:4" x14ac:dyDescent="0.25">
      <c r="B43">
        <v>2</v>
      </c>
      <c r="C43" s="34">
        <v>41045</v>
      </c>
      <c r="D43" t="s">
        <v>238</v>
      </c>
    </row>
    <row r="44" spans="2:4" x14ac:dyDescent="0.25">
      <c r="B44">
        <v>2</v>
      </c>
      <c r="C44" s="34">
        <v>41045</v>
      </c>
      <c r="D44" t="s">
        <v>238</v>
      </c>
    </row>
    <row r="45" spans="2:4" x14ac:dyDescent="0.25">
      <c r="B45">
        <v>2</v>
      </c>
      <c r="C45" s="34">
        <v>41045</v>
      </c>
      <c r="D45" t="s">
        <v>238</v>
      </c>
    </row>
    <row r="46" spans="2:4" x14ac:dyDescent="0.25">
      <c r="C46" s="34"/>
    </row>
    <row r="47" spans="2:4" x14ac:dyDescent="0.25">
      <c r="C47" s="34"/>
    </row>
    <row r="50" spans="1:10" x14ac:dyDescent="0.25">
      <c r="A50" s="1" t="s">
        <v>119</v>
      </c>
    </row>
    <row r="51" spans="1:10" x14ac:dyDescent="0.25">
      <c r="C51" s="5" t="s">
        <v>112</v>
      </c>
      <c r="D51" s="5" t="s">
        <v>116</v>
      </c>
      <c r="E51" s="5" t="s">
        <v>117</v>
      </c>
    </row>
    <row r="52" spans="1:10" x14ac:dyDescent="0.25">
      <c r="B52" t="s">
        <v>113</v>
      </c>
      <c r="C52">
        <v>83</v>
      </c>
      <c r="D52">
        <v>219</v>
      </c>
      <c r="E52">
        <v>184</v>
      </c>
    </row>
    <row r="53" spans="1:10" x14ac:dyDescent="0.25">
      <c r="B53" t="s">
        <v>114</v>
      </c>
      <c r="C53">
        <v>142</v>
      </c>
      <c r="D53">
        <v>229</v>
      </c>
      <c r="E53">
        <v>204</v>
      </c>
    </row>
    <row r="54" spans="1:10" x14ac:dyDescent="0.25">
      <c r="B54" t="s">
        <v>115</v>
      </c>
      <c r="C54">
        <v>213</v>
      </c>
      <c r="D54">
        <v>241</v>
      </c>
      <c r="E54">
        <v>228</v>
      </c>
    </row>
    <row r="56" spans="1:10" x14ac:dyDescent="0.25">
      <c r="A56" s="1" t="s">
        <v>118</v>
      </c>
    </row>
    <row r="57" spans="1:10" x14ac:dyDescent="0.25">
      <c r="A57" s="1"/>
      <c r="C57" s="36"/>
      <c r="D57" s="37"/>
      <c r="E57" s="38"/>
      <c r="F57" s="39"/>
      <c r="G57" s="40"/>
      <c r="H57" s="41"/>
      <c r="I57" s="42"/>
      <c r="J57" s="43"/>
    </row>
    <row r="58" spans="1:10" x14ac:dyDescent="0.25">
      <c r="A58" s="1"/>
      <c r="C58" s="35" t="s">
        <v>120</v>
      </c>
      <c r="D58" s="35" t="s">
        <v>121</v>
      </c>
      <c r="E58" s="35" t="s">
        <v>122</v>
      </c>
      <c r="F58" s="5" t="s">
        <v>123</v>
      </c>
      <c r="G58" s="5" t="s">
        <v>124</v>
      </c>
      <c r="H58" s="5" t="s">
        <v>125</v>
      </c>
      <c r="I58" s="5" t="s">
        <v>126</v>
      </c>
      <c r="J58" s="5" t="s">
        <v>127</v>
      </c>
    </row>
    <row r="59" spans="1:10" x14ac:dyDescent="0.25">
      <c r="A59" s="1"/>
      <c r="B59" t="s">
        <v>113</v>
      </c>
      <c r="C59">
        <v>0</v>
      </c>
      <c r="D59">
        <v>108</v>
      </c>
      <c r="E59">
        <v>0</v>
      </c>
      <c r="F59">
        <v>113</v>
      </c>
      <c r="G59">
        <v>234</v>
      </c>
      <c r="H59">
        <v>181</v>
      </c>
      <c r="I59">
        <v>0</v>
      </c>
      <c r="J59">
        <v>0</v>
      </c>
    </row>
    <row r="60" spans="1:10" x14ac:dyDescent="0.25">
      <c r="A60" s="1"/>
      <c r="B60" t="s">
        <v>114</v>
      </c>
      <c r="C60">
        <v>132</v>
      </c>
      <c r="D60">
        <v>111</v>
      </c>
      <c r="E60">
        <v>52</v>
      </c>
      <c r="F60">
        <v>39</v>
      </c>
      <c r="G60">
        <v>113</v>
      </c>
      <c r="H60">
        <v>191</v>
      </c>
      <c r="I60">
        <v>149</v>
      </c>
      <c r="J60">
        <v>117</v>
      </c>
    </row>
    <row r="61" spans="1:10" x14ac:dyDescent="0.25">
      <c r="A61" s="1"/>
      <c r="B61" t="s">
        <v>115</v>
      </c>
      <c r="C61">
        <v>114</v>
      </c>
      <c r="D61">
        <v>112</v>
      </c>
      <c r="E61">
        <v>121</v>
      </c>
      <c r="F61">
        <v>61</v>
      </c>
      <c r="G61">
        <v>37</v>
      </c>
      <c r="H61">
        <v>0</v>
      </c>
      <c r="I61">
        <v>195</v>
      </c>
      <c r="J61">
        <v>155</v>
      </c>
    </row>
    <row r="62" spans="1:10" x14ac:dyDescent="0.25">
      <c r="A62" s="1"/>
    </row>
  </sheetData>
  <dataValidations count="1">
    <dataValidation type="list" allowBlank="1" showInputMessage="1" showErrorMessage="1" sqref="D8:D15">
      <formula1>"Open,Done"</formula1>
    </dataValidation>
  </dataValidation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45</vt:i4>
      </vt:variant>
    </vt:vector>
  </HeadingPairs>
  <TitlesOfParts>
    <vt:vector size="53" baseType="lpstr">
      <vt:lpstr>StartHere</vt:lpstr>
      <vt:lpstr>Inputs</vt:lpstr>
      <vt:lpstr>Chart</vt:lpstr>
      <vt:lpstr>Tables</vt:lpstr>
      <vt:lpstr>Reference</vt:lpstr>
      <vt:lpstr>Admin</vt:lpstr>
      <vt:lpstr>ChartData</vt:lpstr>
      <vt:lpstr>ChangeLog</vt:lpstr>
      <vt:lpstr>cht_cryo_pct</vt:lpstr>
      <vt:lpstr>cht_payback</vt:lpstr>
      <vt:lpstr>cht_pct</vt:lpstr>
      <vt:lpstr>cht_svg</vt:lpstr>
      <vt:lpstr>cht_svg_pct</vt:lpstr>
      <vt:lpstr>cht_svg_pct_box</vt:lpstr>
      <vt:lpstr>co_name</vt:lpstr>
      <vt:lpstr>cryo_option</vt:lpstr>
      <vt:lpstr>days_per_yr</vt:lpstr>
      <vt:lpstr>dd_cryo_options</vt:lpstr>
      <vt:lpstr>dd_donor</vt:lpstr>
      <vt:lpstr>dd_gt_who</vt:lpstr>
      <vt:lpstr>dd_l_rate</vt:lpstr>
      <vt:lpstr>dd_num_breeders</vt:lpstr>
      <vt:lpstr>dd_yn</vt:lpstr>
      <vt:lpstr>donor</vt:lpstr>
      <vt:lpstr>donor_tbl</vt:lpstr>
      <vt:lpstr>help_1</vt:lpstr>
      <vt:lpstr>help_10</vt:lpstr>
      <vt:lpstr>help_11</vt:lpstr>
      <vt:lpstr>help_12</vt:lpstr>
      <vt:lpstr>help_13</vt:lpstr>
      <vt:lpstr>help_14</vt:lpstr>
      <vt:lpstr>help_15</vt:lpstr>
      <vt:lpstr>help_16</vt:lpstr>
      <vt:lpstr>help_17</vt:lpstr>
      <vt:lpstr>help_18</vt:lpstr>
      <vt:lpstr>help_19</vt:lpstr>
      <vt:lpstr>help_2</vt:lpstr>
      <vt:lpstr>help_20</vt:lpstr>
      <vt:lpstr>help_21</vt:lpstr>
      <vt:lpstr>help_3</vt:lpstr>
      <vt:lpstr>help_4</vt:lpstr>
      <vt:lpstr>help_5</vt:lpstr>
      <vt:lpstr>help_6</vt:lpstr>
      <vt:lpstr>help_7</vt:lpstr>
      <vt:lpstr>help_8</vt:lpstr>
      <vt:lpstr>help_9</vt:lpstr>
      <vt:lpstr>hrs_per_yr</vt:lpstr>
      <vt:lpstr>litters_per_yr</vt:lpstr>
      <vt:lpstr>months_per_yr</vt:lpstr>
      <vt:lpstr>simple_payback</vt:lpstr>
      <vt:lpstr>storage_cost</vt:lpstr>
      <vt:lpstr>tot_svg</vt:lpstr>
      <vt:lpstr>wks_per_yr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jlenning</dc:creator>
  <cp:lastModifiedBy>Jameson Ford</cp:lastModifiedBy>
  <cp:lastPrinted>2011-02-07T17:31:44Z</cp:lastPrinted>
  <dcterms:created xsi:type="dcterms:W3CDTF">2011-01-05T16:41:39Z</dcterms:created>
  <dcterms:modified xsi:type="dcterms:W3CDTF">2015-11-02T14:28:22Z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